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Уточнения бюджета в 2025\Март\Пакет с правками\"/>
    </mc:Choice>
  </mc:AlternateContent>
  <xr:revisionPtr revIDLastSave="0" documentId="13_ncr:81_{9FCE3471-F73A-4FE8-8920-6B88F2F438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рпр!$A$7:$G$689</definedName>
    <definedName name="Z_0D09C470_2E87_4C0F_8678_A948774FDA23_.wvu.FilterData" localSheetId="0" hidden="1">рпр!$D$3:$D$16</definedName>
    <definedName name="Z_199C747B_6047_4DBE_B7AF_0B4ED9AF8062_.wvu.FilterData" localSheetId="0" hidden="1">рпр!$C$3:$C$698</definedName>
    <definedName name="Z_1CA6CCC9_64EF_4CA9_9C9C_1E572976D134_.wvu.FilterData" localSheetId="0" hidden="1">рпр!$A$7:$G$689</definedName>
    <definedName name="Z_1CA6CCC9_64EF_4CA9_9C9C_1E572976D134_.wvu.PrintTitles" localSheetId="0" hidden="1">рпр!$8:$9</definedName>
    <definedName name="Z_23A5EAB7_7745_45A3_8BB4_D6186958C7BF_.wvu.FilterData" localSheetId="0" hidden="1">рпр!$D$3:$D$16</definedName>
    <definedName name="Z_23A5EAB7_7745_45A3_8BB4_D6186958C7BF_.wvu.PrintTitles" localSheetId="0" hidden="1">рпр!$8:$9</definedName>
    <definedName name="Z_23F7C319_D9D7_459A_B8F5_A3581D3A5B81_.wvu.FilterData" localSheetId="0" hidden="1">рпр!$D$3:$D$16</definedName>
    <definedName name="Z_2A135292_D5EB_4A8D_A93E_D0B24F2543E0_.wvu.FilterData" localSheetId="0" hidden="1">рпр!$C$3:$C$698</definedName>
    <definedName name="Z_2A135292_D5EB_4A8D_A93E_D0B24F2543E0_.wvu.PrintTitles" localSheetId="0" hidden="1">рпр!$8:$9</definedName>
    <definedName name="Z_3197038B_7AE0_453D_B16F_842F91D12370_.wvu.FilterData" localSheetId="0" hidden="1">рпр!$D$3:$D$16</definedName>
    <definedName name="Z_32FC6AA7_97FD_40A3_9558_62D49F19A162_.wvu.FilterData" localSheetId="0" hidden="1">рпр!$D$3:$D$16</definedName>
    <definedName name="Z_3D5FA0F4_920E_4BDD_8237_DA71285E552D_.wvu.FilterData" localSheetId="0" hidden="1">рпр!$D$3:$D$16</definedName>
    <definedName name="Z_3E648FDD_E1B7_4790_827B_0B5F0EAD6452_.wvu.FilterData" localSheetId="0" hidden="1">рпр!$D$3:$D$16</definedName>
    <definedName name="Z_5489E52F_3E4E_4A5D_9CAF_34B64A29D785_.wvu.FilterData" localSheetId="0" hidden="1">рпр!$D$3:$D$16</definedName>
    <definedName name="Z_61C84D61_2D1A_4C38_8F3E_B87673D547A5_.wvu.FilterData" localSheetId="0" hidden="1">рпр!$A$7:$G$689</definedName>
    <definedName name="Z_61C84D61_2D1A_4C38_8F3E_B87673D547A5_.wvu.PrintTitles" localSheetId="0" hidden="1">рпр!$8:$9</definedName>
    <definedName name="Z_6C9A7D5C_610A_4B66_A332_0B1E5ACC7CDC_.wvu.FilterData" localSheetId="0" hidden="1">рпр!$C$3:$C$698</definedName>
    <definedName name="Z_6D8949E9_8F67_452F_8026_18F60ECD626A_.wvu.FilterData" localSheetId="0" hidden="1">рпр!$C$3:$C$698</definedName>
    <definedName name="Z_926F2036_6CA2_4D9D_9A3F_FBB9B9A9CDEA_.wvu.FilterData" localSheetId="0" hidden="1">рпр!$D$3:$D$16</definedName>
    <definedName name="Z_93B03682_4FA6_4195_9F3E_A40BC2C05B11_.wvu.FilterData" localSheetId="0" hidden="1">рпр!$D$3:$D$16</definedName>
    <definedName name="Z_9FDAC6D4_D6DE_4524_BE34_3372FE2E9C61_.wvu.FilterData" localSheetId="0" hidden="1">рпр!$D$3:$D$16</definedName>
    <definedName name="Z_BB350AFD_3C59_406F_B078_BA01ED584583_.wvu.FilterData" localSheetId="0" hidden="1">рпр!$C$3:$C$698</definedName>
    <definedName name="Z_BBC98704_382B_4A77_8B65_8E0E10583F10_.wvu.FilterData" localSheetId="0" hidden="1">рпр!$C$3:$C$698</definedName>
    <definedName name="Z_D2822DC7_D4ED_4DDD_BAA7_FCD29EB01634_.wvu.FilterData" localSheetId="0" hidden="1">рпр!$C$3:$C$698</definedName>
    <definedName name="Z_DE4C4DED_3532_45E6_82B9_84CB49AD099F_.wvu.FilterData" localSheetId="0" hidden="1">рпр!$C$3:$C$698</definedName>
    <definedName name="Z_F90D38A5_C457_4FC4_B8B4_5D36CD74970E_.wvu.FilterData" localSheetId="0" hidden="1">рпр!$D$3:$D$16</definedName>
    <definedName name="Z_FD876D40_493A_470C_A137_1F7C6C6DA01D_.wvu.FilterData" localSheetId="0" hidden="1">рпр!$D$3:$D$16</definedName>
    <definedName name="Z_FD876D40_493A_470C_A137_1F7C6C6DA01D_.wvu.PrintTitles" localSheetId="0" hidden="1">рпр!$8:$9</definedName>
    <definedName name="_xlnm.Print_Titles" localSheetId="0">рпр!$8:$9</definedName>
  </definedNames>
  <calcPr calcId="191029"/>
  <customWorkbookViews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97" yWindow="3" windowWidth="1007" windowHeight="103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2" i="1" l="1"/>
  <c r="G382" i="1"/>
  <c r="E382" i="1"/>
  <c r="E381" i="1" s="1"/>
  <c r="F381" i="1"/>
  <c r="G381" i="1"/>
  <c r="E534" i="1"/>
  <c r="E535" i="1"/>
  <c r="E531" i="1"/>
  <c r="E533" i="1" l="1"/>
  <c r="F275" i="1" l="1"/>
  <c r="G275" i="1"/>
  <c r="F273" i="1"/>
  <c r="G273" i="1"/>
  <c r="F271" i="1"/>
  <c r="G271" i="1"/>
  <c r="F269" i="1"/>
  <c r="G269" i="1"/>
  <c r="G530" i="1"/>
  <c r="F530" i="1"/>
  <c r="G519" i="1"/>
  <c r="F519" i="1"/>
  <c r="G356" i="1"/>
  <c r="F356" i="1"/>
  <c r="F315" i="1"/>
  <c r="G303" i="1"/>
  <c r="F303" i="1"/>
  <c r="G317" i="1"/>
  <c r="F317" i="1"/>
  <c r="G242" i="1"/>
  <c r="F604" i="1"/>
  <c r="F606" i="1"/>
  <c r="F620" i="1"/>
  <c r="F614" i="1"/>
  <c r="F637" i="1"/>
  <c r="F634" i="1"/>
  <c r="F631" i="1"/>
  <c r="F627" i="1"/>
  <c r="F618" i="1"/>
  <c r="G419" i="1"/>
  <c r="F419" i="1"/>
  <c r="E419" i="1"/>
  <c r="G417" i="1"/>
  <c r="F417" i="1"/>
  <c r="E417" i="1"/>
  <c r="G627" i="1"/>
  <c r="G606" i="1"/>
  <c r="G604" i="1"/>
  <c r="G620" i="1"/>
  <c r="G614" i="1"/>
  <c r="G637" i="1"/>
  <c r="G634" i="1"/>
  <c r="G631" i="1"/>
  <c r="G403" i="1"/>
  <c r="G402" i="1" s="1"/>
  <c r="F403" i="1"/>
  <c r="F402" i="1" s="1"/>
  <c r="E403" i="1"/>
  <c r="E402" i="1" s="1"/>
  <c r="G618" i="1"/>
  <c r="G290" i="1" l="1"/>
  <c r="F290" i="1"/>
  <c r="G288" i="1"/>
  <c r="F288" i="1"/>
  <c r="F242" i="1"/>
  <c r="G244" i="1" l="1"/>
  <c r="F244" i="1"/>
  <c r="G226" i="1"/>
  <c r="F226" i="1"/>
  <c r="G194" i="1"/>
  <c r="F194" i="1"/>
  <c r="G187" i="1"/>
  <c r="F187" i="1"/>
  <c r="G185" i="1"/>
  <c r="F185" i="1"/>
  <c r="G175" i="1"/>
  <c r="G166" i="1"/>
  <c r="F166" i="1"/>
  <c r="F164" i="1"/>
  <c r="G126" i="1"/>
  <c r="F126" i="1"/>
  <c r="G117" i="1"/>
  <c r="F117" i="1"/>
  <c r="G109" i="1"/>
  <c r="F109" i="1"/>
  <c r="G50" i="1"/>
  <c r="F50" i="1"/>
  <c r="G45" i="1"/>
  <c r="G44" i="1"/>
  <c r="F45" i="1"/>
  <c r="F44" i="1"/>
  <c r="G42" i="1"/>
  <c r="G39" i="1"/>
  <c r="F39" i="1"/>
  <c r="G43" i="1" l="1"/>
  <c r="E377" i="1" l="1"/>
  <c r="F324" i="1"/>
  <c r="G324" i="1"/>
  <c r="E324" i="1"/>
  <c r="E416" i="1"/>
  <c r="E442" i="1"/>
  <c r="E244" i="1" l="1"/>
  <c r="E264" i="1"/>
  <c r="E256" i="1"/>
  <c r="E250" i="1"/>
  <c r="E226" i="1"/>
  <c r="E167" i="1"/>
  <c r="F76" i="1"/>
  <c r="G76" i="1"/>
  <c r="E620" i="1"/>
  <c r="E614" i="1"/>
  <c r="F611" i="1"/>
  <c r="G611" i="1"/>
  <c r="E611" i="1"/>
  <c r="E604" i="1"/>
  <c r="E356" i="1"/>
  <c r="E578" i="1"/>
  <c r="E557" i="1"/>
  <c r="E553" i="1"/>
  <c r="E551" i="1"/>
  <c r="E546" i="1"/>
  <c r="E673" i="1"/>
  <c r="E665" i="1"/>
  <c r="E637" i="1"/>
  <c r="E634" i="1"/>
  <c r="E631" i="1"/>
  <c r="E627" i="1"/>
  <c r="E530" i="1"/>
  <c r="E529" i="1"/>
  <c r="F525" i="1"/>
  <c r="G525" i="1"/>
  <c r="E525" i="1"/>
  <c r="E519" i="1"/>
  <c r="E506" i="1"/>
  <c r="E503" i="1"/>
  <c r="E504" i="1"/>
  <c r="E467" i="1"/>
  <c r="F449" i="1"/>
  <c r="G449" i="1"/>
  <c r="E449" i="1"/>
  <c r="F447" i="1"/>
  <c r="G447" i="1"/>
  <c r="E447" i="1"/>
  <c r="E446" i="1" l="1"/>
  <c r="E444" i="1"/>
  <c r="E443" i="1" s="1"/>
  <c r="E440" i="1"/>
  <c r="F437" i="1" l="1"/>
  <c r="G437" i="1"/>
  <c r="E437" i="1"/>
  <c r="E436" i="1"/>
  <c r="E430" i="1"/>
  <c r="F425" i="1"/>
  <c r="G425" i="1"/>
  <c r="E425" i="1"/>
  <c r="E422" i="1"/>
  <c r="F415" i="1"/>
  <c r="F414" i="1" s="1"/>
  <c r="F413" i="1" s="1"/>
  <c r="G415" i="1"/>
  <c r="G414" i="1" s="1"/>
  <c r="G413" i="1" s="1"/>
  <c r="E415" i="1"/>
  <c r="F411" i="1"/>
  <c r="G411" i="1"/>
  <c r="F409" i="1"/>
  <c r="G409" i="1"/>
  <c r="E411" i="1"/>
  <c r="E409" i="1"/>
  <c r="F407" i="1"/>
  <c r="G407" i="1"/>
  <c r="E407" i="1"/>
  <c r="E395" i="1"/>
  <c r="E392" i="1"/>
  <c r="E390" i="1"/>
  <c r="E384" i="1"/>
  <c r="E362" i="1"/>
  <c r="E361" i="1"/>
  <c r="E346" i="1"/>
  <c r="E317" i="1"/>
  <c r="E315" i="1"/>
  <c r="E301" i="1"/>
  <c r="E290" i="1"/>
  <c r="E288" i="1"/>
  <c r="F284" i="1"/>
  <c r="G284" i="1"/>
  <c r="E284" i="1"/>
  <c r="E279" i="1"/>
  <c r="F160" i="1"/>
  <c r="E160" i="1"/>
  <c r="E126" i="1"/>
  <c r="E118" i="1"/>
  <c r="E117" i="1"/>
  <c r="E109" i="1"/>
  <c r="E60" i="1"/>
  <c r="E679" i="1"/>
  <c r="E657" i="1"/>
  <c r="E618" i="1"/>
  <c r="E495" i="1"/>
  <c r="E483" i="1"/>
  <c r="F312" i="1"/>
  <c r="G312" i="1"/>
  <c r="F310" i="1"/>
  <c r="G310" i="1"/>
  <c r="E312" i="1"/>
  <c r="E310" i="1"/>
  <c r="E303" i="1"/>
  <c r="E276" i="1"/>
  <c r="E274" i="1"/>
  <c r="E272" i="1"/>
  <c r="E270" i="1"/>
  <c r="E268" i="1"/>
  <c r="E266" i="1"/>
  <c r="E262" i="1"/>
  <c r="E260" i="1"/>
  <c r="E258" i="1"/>
  <c r="E254" i="1"/>
  <c r="E252" i="1"/>
  <c r="E248" i="1"/>
  <c r="F225" i="1"/>
  <c r="F224" i="1" s="1"/>
  <c r="F223" i="1" s="1"/>
  <c r="G225" i="1"/>
  <c r="G224" i="1" s="1"/>
  <c r="G223" i="1" s="1"/>
  <c r="E225" i="1"/>
  <c r="E224" i="1" s="1"/>
  <c r="E223" i="1" s="1"/>
  <c r="E194" i="1"/>
  <c r="E187" i="1"/>
  <c r="E169" i="1"/>
  <c r="E166" i="1"/>
  <c r="E164" i="1"/>
  <c r="E406" i="1" l="1"/>
  <c r="E401" i="1" s="1"/>
  <c r="G406" i="1"/>
  <c r="G401" i="1" s="1"/>
  <c r="F406" i="1"/>
  <c r="F401" i="1" s="1"/>
  <c r="E360" i="1"/>
  <c r="E146" i="1"/>
  <c r="F137" i="1"/>
  <c r="G137" i="1"/>
  <c r="E137" i="1"/>
  <c r="E73" i="1"/>
  <c r="E72" i="1"/>
  <c r="E50" i="1"/>
  <c r="E45" i="1"/>
  <c r="E44" i="1"/>
  <c r="E39" i="1"/>
  <c r="E524" i="1" l="1"/>
  <c r="E470" i="1"/>
  <c r="E469" i="1"/>
  <c r="E457" i="1"/>
  <c r="F454" i="1"/>
  <c r="G454" i="1"/>
  <c r="E454" i="1"/>
  <c r="F421" i="1"/>
  <c r="G421" i="1"/>
  <c r="E421" i="1"/>
  <c r="E414" i="1" s="1"/>
  <c r="E413" i="1" s="1"/>
  <c r="E393" i="1"/>
  <c r="E55" i="1"/>
  <c r="E54" i="1"/>
  <c r="F649" i="1"/>
  <c r="F648" i="1" s="1"/>
  <c r="G649" i="1"/>
  <c r="G648" i="1" s="1"/>
  <c r="E649" i="1"/>
  <c r="E648" i="1" s="1"/>
  <c r="E275" i="1"/>
  <c r="E273" i="1"/>
  <c r="E271" i="1"/>
  <c r="E269" i="1"/>
  <c r="F263" i="1"/>
  <c r="G263" i="1"/>
  <c r="F265" i="1"/>
  <c r="G265" i="1"/>
  <c r="F267" i="1"/>
  <c r="G267" i="1"/>
  <c r="E267" i="1"/>
  <c r="E265" i="1"/>
  <c r="E263" i="1"/>
  <c r="F257" i="1" l="1"/>
  <c r="G257" i="1"/>
  <c r="F259" i="1"/>
  <c r="G259" i="1"/>
  <c r="F261" i="1"/>
  <c r="G261" i="1"/>
  <c r="E261" i="1"/>
  <c r="E259" i="1"/>
  <c r="E257" i="1"/>
  <c r="F251" i="1"/>
  <c r="G251" i="1"/>
  <c r="F253" i="1"/>
  <c r="G253" i="1"/>
  <c r="F255" i="1"/>
  <c r="G255" i="1"/>
  <c r="E255" i="1"/>
  <c r="E253" i="1"/>
  <c r="E251" i="1"/>
  <c r="F143" i="1"/>
  <c r="G143" i="1"/>
  <c r="F145" i="1"/>
  <c r="G145" i="1"/>
  <c r="E145" i="1"/>
  <c r="E143" i="1"/>
  <c r="F80" i="1"/>
  <c r="G80" i="1"/>
  <c r="F82" i="1"/>
  <c r="G82" i="1"/>
  <c r="E82" i="1"/>
  <c r="E80" i="1"/>
  <c r="E79" i="1"/>
  <c r="E142" i="1" l="1"/>
  <c r="E141" i="1" s="1"/>
  <c r="F142" i="1"/>
  <c r="F141" i="1" s="1"/>
  <c r="G142" i="1"/>
  <c r="G141" i="1" s="1"/>
  <c r="F71" i="1" l="1"/>
  <c r="G71" i="1"/>
  <c r="E71" i="1"/>
  <c r="E27" i="1"/>
  <c r="E24" i="1"/>
  <c r="E22" i="1"/>
  <c r="E20" i="1"/>
  <c r="E18" i="1"/>
  <c r="F550" i="1"/>
  <c r="G550" i="1"/>
  <c r="F552" i="1"/>
  <c r="G552" i="1"/>
  <c r="E552" i="1"/>
  <c r="E550" i="1"/>
  <c r="E77" i="1"/>
  <c r="E76" i="1" s="1"/>
  <c r="F289" i="1"/>
  <c r="G289" i="1"/>
  <c r="E289" i="1"/>
  <c r="F287" i="1"/>
  <c r="G287" i="1"/>
  <c r="E287" i="1"/>
  <c r="F278" i="1"/>
  <c r="F277" i="1" s="1"/>
  <c r="G278" i="1"/>
  <c r="G277" i="1" s="1"/>
  <c r="E278" i="1"/>
  <c r="E277" i="1" s="1"/>
  <c r="F482" i="1"/>
  <c r="F481" i="1" s="1"/>
  <c r="F480" i="1" s="1"/>
  <c r="G482" i="1"/>
  <c r="G481" i="1" s="1"/>
  <c r="G480" i="1" s="1"/>
  <c r="E482" i="1"/>
  <c r="E481" i="1" s="1"/>
  <c r="E480" i="1" s="1"/>
  <c r="F165" i="1"/>
  <c r="G165" i="1"/>
  <c r="E165" i="1"/>
  <c r="F545" i="1"/>
  <c r="F544" i="1" s="1"/>
  <c r="F543" i="1" s="1"/>
  <c r="G545" i="1"/>
  <c r="G544" i="1" s="1"/>
  <c r="G543" i="1" s="1"/>
  <c r="E545" i="1"/>
  <c r="E544" i="1" s="1"/>
  <c r="E543" i="1" s="1"/>
  <c r="F672" i="1"/>
  <c r="F671" i="1" s="1"/>
  <c r="F670" i="1" s="1"/>
  <c r="G672" i="1"/>
  <c r="G671" i="1" s="1"/>
  <c r="G670" i="1" s="1"/>
  <c r="E672" i="1"/>
  <c r="E671" i="1" s="1"/>
  <c r="E670" i="1" s="1"/>
  <c r="F314" i="1"/>
  <c r="G314" i="1"/>
  <c r="F316" i="1"/>
  <c r="G316" i="1"/>
  <c r="E316" i="1"/>
  <c r="E314" i="1"/>
  <c r="F300" i="1"/>
  <c r="G300" i="1"/>
  <c r="E300" i="1"/>
  <c r="F302" i="1"/>
  <c r="G302" i="1"/>
  <c r="E302" i="1"/>
  <c r="E92" i="1"/>
  <c r="E567" i="1"/>
  <c r="E477" i="1"/>
  <c r="E501" i="1"/>
  <c r="E115" i="1"/>
  <c r="E31" i="1"/>
  <c r="E14" i="1"/>
  <c r="F157" i="1"/>
  <c r="G157" i="1"/>
  <c r="E157" i="1"/>
  <c r="E155" i="1"/>
  <c r="G160" i="1"/>
  <c r="F65" i="1"/>
  <c r="F64" i="1" s="1"/>
  <c r="F63" i="1" s="1"/>
  <c r="F62" i="1" s="1"/>
  <c r="F61" i="1" s="1"/>
  <c r="G65" i="1"/>
  <c r="G64" i="1" s="1"/>
  <c r="G63" i="1" s="1"/>
  <c r="G62" i="1" s="1"/>
  <c r="G61" i="1" s="1"/>
  <c r="E65" i="1"/>
  <c r="E64" i="1" s="1"/>
  <c r="E63" i="1" s="1"/>
  <c r="E62" i="1" s="1"/>
  <c r="E61" i="1" s="1"/>
  <c r="E309" i="1"/>
  <c r="F239" i="1"/>
  <c r="G239" i="1"/>
  <c r="E239" i="1"/>
  <c r="F212" i="1"/>
  <c r="G212" i="1"/>
  <c r="E212" i="1"/>
  <c r="E171" i="1"/>
  <c r="F153" i="1"/>
  <c r="G153" i="1"/>
  <c r="E153" i="1"/>
  <c r="G549" i="1" l="1"/>
  <c r="G548" i="1" s="1"/>
  <c r="G547" i="1" s="1"/>
  <c r="F549" i="1"/>
  <c r="F548" i="1" s="1"/>
  <c r="F547" i="1" s="1"/>
  <c r="E549" i="1"/>
  <c r="E548" i="1" s="1"/>
  <c r="E547" i="1" s="1"/>
  <c r="F299" i="1"/>
  <c r="F298" i="1" s="1"/>
  <c r="G299" i="1"/>
  <c r="G298" i="1" s="1"/>
  <c r="E299" i="1"/>
  <c r="E298" i="1" s="1"/>
  <c r="E59" i="1"/>
  <c r="E58" i="1" s="1"/>
  <c r="E57" i="1" s="1"/>
  <c r="E323" i="1"/>
  <c r="F59" i="1"/>
  <c r="F58" i="1" s="1"/>
  <c r="F57" i="1" s="1"/>
  <c r="G59" i="1"/>
  <c r="G58" i="1" s="1"/>
  <c r="G57" i="1" s="1"/>
  <c r="E376" i="1"/>
  <c r="E375" i="1" s="1"/>
  <c r="E374" i="1" s="1"/>
  <c r="E373" i="1" s="1"/>
  <c r="E372" i="1" s="1"/>
  <c r="E371" i="1" s="1"/>
  <c r="F376" i="1"/>
  <c r="F375" i="1" s="1"/>
  <c r="F374" i="1" s="1"/>
  <c r="F373" i="1" s="1"/>
  <c r="F372" i="1" s="1"/>
  <c r="F371" i="1" s="1"/>
  <c r="G376" i="1"/>
  <c r="G375" i="1" s="1"/>
  <c r="G374" i="1" s="1"/>
  <c r="G373" i="1" s="1"/>
  <c r="G372" i="1" s="1"/>
  <c r="G371" i="1" s="1"/>
  <c r="F87" i="1"/>
  <c r="G87" i="1"/>
  <c r="E87" i="1"/>
  <c r="G91" i="1" l="1"/>
  <c r="F91" i="1"/>
  <c r="E91" i="1"/>
  <c r="G101" i="1"/>
  <c r="G100" i="1" s="1"/>
  <c r="G99" i="1" s="1"/>
  <c r="G98" i="1" s="1"/>
  <c r="F101" i="1"/>
  <c r="F100" i="1" s="1"/>
  <c r="F99" i="1" s="1"/>
  <c r="F98" i="1" s="1"/>
  <c r="E101" i="1"/>
  <c r="E100" i="1" s="1"/>
  <c r="E99" i="1" s="1"/>
  <c r="E98" i="1" s="1"/>
  <c r="G96" i="1"/>
  <c r="G95" i="1" s="1"/>
  <c r="F96" i="1"/>
  <c r="F95" i="1" s="1"/>
  <c r="E96" i="1"/>
  <c r="E95" i="1" s="1"/>
  <c r="E90" i="1" l="1"/>
  <c r="E89" i="1" s="1"/>
  <c r="E88" i="1" s="1"/>
  <c r="F90" i="1"/>
  <c r="F89" i="1" s="1"/>
  <c r="F88" i="1" s="1"/>
  <c r="G90" i="1"/>
  <c r="G89" i="1" s="1"/>
  <c r="G88" i="1" s="1"/>
  <c r="G176" i="1"/>
  <c r="F176" i="1"/>
  <c r="E176" i="1"/>
  <c r="G174" i="1"/>
  <c r="F174" i="1"/>
  <c r="E174" i="1"/>
  <c r="G155" i="1"/>
  <c r="F155" i="1"/>
  <c r="G683" i="1"/>
  <c r="G682" i="1" s="1"/>
  <c r="G681" i="1" s="1"/>
  <c r="G680" i="1" s="1"/>
  <c r="F683" i="1"/>
  <c r="F682" i="1" s="1"/>
  <c r="F681" i="1" s="1"/>
  <c r="F680" i="1" s="1"/>
  <c r="E683" i="1"/>
  <c r="E682" i="1" s="1"/>
  <c r="E681" i="1" s="1"/>
  <c r="E680" i="1" s="1"/>
  <c r="G619" i="1"/>
  <c r="F619" i="1"/>
  <c r="E619" i="1"/>
  <c r="G613" i="1"/>
  <c r="F613" i="1"/>
  <c r="E613" i="1"/>
  <c r="G617" i="1"/>
  <c r="F617" i="1"/>
  <c r="E617" i="1"/>
  <c r="G605" i="1"/>
  <c r="F605" i="1"/>
  <c r="E605" i="1"/>
  <c r="G603" i="1"/>
  <c r="F603" i="1"/>
  <c r="E603" i="1"/>
  <c r="G601" i="1"/>
  <c r="F601" i="1"/>
  <c r="E601" i="1"/>
  <c r="G368" i="1"/>
  <c r="G367" i="1" s="1"/>
  <c r="G366" i="1" s="1"/>
  <c r="G365" i="1" s="1"/>
  <c r="G364" i="1" s="1"/>
  <c r="F368" i="1"/>
  <c r="F367" i="1" s="1"/>
  <c r="F366" i="1" s="1"/>
  <c r="F365" i="1" s="1"/>
  <c r="F364" i="1" s="1"/>
  <c r="E368" i="1"/>
  <c r="E367" i="1" s="1"/>
  <c r="E366" i="1" s="1"/>
  <c r="E365" i="1" s="1"/>
  <c r="E364" i="1" s="1"/>
  <c r="G360" i="1"/>
  <c r="G359" i="1" s="1"/>
  <c r="G358" i="1" s="1"/>
  <c r="G357" i="1" s="1"/>
  <c r="F360" i="1"/>
  <c r="F359" i="1" s="1"/>
  <c r="F358" i="1" s="1"/>
  <c r="F357" i="1" s="1"/>
  <c r="E359" i="1"/>
  <c r="E358" i="1" s="1"/>
  <c r="E357" i="1" s="1"/>
  <c r="G355" i="1"/>
  <c r="G354" i="1" s="1"/>
  <c r="G353" i="1" s="1"/>
  <c r="G352" i="1" s="1"/>
  <c r="F355" i="1"/>
  <c r="F354" i="1" s="1"/>
  <c r="F353" i="1" s="1"/>
  <c r="F352" i="1" s="1"/>
  <c r="E355" i="1"/>
  <c r="E354" i="1" s="1"/>
  <c r="E353" i="1" s="1"/>
  <c r="E352" i="1" s="1"/>
  <c r="G349" i="1"/>
  <c r="F349" i="1"/>
  <c r="E349" i="1"/>
  <c r="G347" i="1"/>
  <c r="F347" i="1"/>
  <c r="E347" i="1"/>
  <c r="G345" i="1"/>
  <c r="F345" i="1"/>
  <c r="E345" i="1"/>
  <c r="G343" i="1"/>
  <c r="F343" i="1"/>
  <c r="E343" i="1"/>
  <c r="G341" i="1"/>
  <c r="F341" i="1"/>
  <c r="E341" i="1"/>
  <c r="G339" i="1"/>
  <c r="F339" i="1"/>
  <c r="E339" i="1"/>
  <c r="G337" i="1"/>
  <c r="F337" i="1"/>
  <c r="E337" i="1"/>
  <c r="G335" i="1"/>
  <c r="F335" i="1"/>
  <c r="E335" i="1"/>
  <c r="G333" i="1"/>
  <c r="F333" i="1"/>
  <c r="E333" i="1"/>
  <c r="G331" i="1"/>
  <c r="F331" i="1"/>
  <c r="E331" i="1"/>
  <c r="G329" i="1"/>
  <c r="F329" i="1"/>
  <c r="E329" i="1"/>
  <c r="G327" i="1"/>
  <c r="F327" i="1"/>
  <c r="E327" i="1"/>
  <c r="G322" i="1"/>
  <c r="F322" i="1"/>
  <c r="E322" i="1"/>
  <c r="G320" i="1"/>
  <c r="F320" i="1"/>
  <c r="E320" i="1"/>
  <c r="G306" i="1"/>
  <c r="F306" i="1"/>
  <c r="E306" i="1"/>
  <c r="G219" i="1"/>
  <c r="G218" i="1" s="1"/>
  <c r="F219" i="1"/>
  <c r="F218" i="1" s="1"/>
  <c r="E219" i="1"/>
  <c r="E218" i="1" s="1"/>
  <c r="G205" i="1"/>
  <c r="G204" i="1" s="1"/>
  <c r="G203" i="1" s="1"/>
  <c r="G202" i="1" s="1"/>
  <c r="F205" i="1"/>
  <c r="F204" i="1" s="1"/>
  <c r="F203" i="1" s="1"/>
  <c r="F202" i="1" s="1"/>
  <c r="E205" i="1"/>
  <c r="E204" i="1" s="1"/>
  <c r="E203" i="1" s="1"/>
  <c r="E202" i="1" s="1"/>
  <c r="F610" i="1" l="1"/>
  <c r="F609" i="1" s="1"/>
  <c r="G610" i="1"/>
  <c r="G609" i="1" s="1"/>
  <c r="E610" i="1"/>
  <c r="E609" i="1" s="1"/>
  <c r="G319" i="1"/>
  <c r="G318" i="1" s="1"/>
  <c r="F173" i="1"/>
  <c r="F172" i="1" s="1"/>
  <c r="E173" i="1"/>
  <c r="E172" i="1" s="1"/>
  <c r="G173" i="1"/>
  <c r="G172" i="1" s="1"/>
  <c r="F616" i="1"/>
  <c r="F615" i="1" s="1"/>
  <c r="E616" i="1"/>
  <c r="E615" i="1" s="1"/>
  <c r="G616" i="1"/>
  <c r="G615" i="1" s="1"/>
  <c r="E600" i="1"/>
  <c r="E599" i="1" s="1"/>
  <c r="E598" i="1" s="1"/>
  <c r="F600" i="1"/>
  <c r="F599" i="1" s="1"/>
  <c r="F598" i="1" s="1"/>
  <c r="G600" i="1"/>
  <c r="G599" i="1" s="1"/>
  <c r="G598" i="1" s="1"/>
  <c r="F351" i="1"/>
  <c r="E351" i="1"/>
  <c r="G351" i="1"/>
  <c r="E319" i="1"/>
  <c r="E318" i="1" s="1"/>
  <c r="F319" i="1"/>
  <c r="F318" i="1" s="1"/>
  <c r="G294" i="1"/>
  <c r="F294" i="1"/>
  <c r="E294" i="1"/>
  <c r="G292" i="1"/>
  <c r="F292" i="1"/>
  <c r="E292" i="1"/>
  <c r="G282" i="1"/>
  <c r="G281" i="1" s="1"/>
  <c r="F282" i="1"/>
  <c r="F281" i="1" s="1"/>
  <c r="E282" i="1"/>
  <c r="E281" i="1" s="1"/>
  <c r="G237" i="1"/>
  <c r="F237" i="1"/>
  <c r="E237" i="1"/>
  <c r="G216" i="1"/>
  <c r="G215" i="1" s="1"/>
  <c r="G214" i="1" s="1"/>
  <c r="F216" i="1"/>
  <c r="F215" i="1" s="1"/>
  <c r="F214" i="1" s="1"/>
  <c r="E216" i="1"/>
  <c r="E215" i="1" s="1"/>
  <c r="E214" i="1" s="1"/>
  <c r="G125" i="1"/>
  <c r="G124" i="1" s="1"/>
  <c r="G123" i="1" s="1"/>
  <c r="G122" i="1" s="1"/>
  <c r="G121" i="1" s="1"/>
  <c r="F125" i="1"/>
  <c r="F124" i="1" s="1"/>
  <c r="F123" i="1" s="1"/>
  <c r="F122" i="1" s="1"/>
  <c r="F121" i="1" s="1"/>
  <c r="E125" i="1"/>
  <c r="E124" i="1" s="1"/>
  <c r="E123" i="1" s="1"/>
  <c r="E122" i="1" s="1"/>
  <c r="E121" i="1" s="1"/>
  <c r="E291" i="1" l="1"/>
  <c r="G291" i="1"/>
  <c r="F291" i="1"/>
  <c r="G608" i="1"/>
  <c r="F608" i="1"/>
  <c r="E608" i="1"/>
  <c r="E280" i="1" l="1"/>
  <c r="F280" i="1"/>
  <c r="G280" i="1"/>
  <c r="G308" i="1" l="1"/>
  <c r="F308" i="1"/>
  <c r="E308" i="1"/>
  <c r="E305" i="1" s="1"/>
  <c r="G249" i="1"/>
  <c r="F249" i="1"/>
  <c r="E249" i="1"/>
  <c r="G247" i="1"/>
  <c r="F247" i="1"/>
  <c r="E247" i="1"/>
  <c r="G245" i="1"/>
  <c r="F245" i="1"/>
  <c r="E245" i="1"/>
  <c r="G243" i="1"/>
  <c r="F243" i="1"/>
  <c r="E243" i="1"/>
  <c r="G241" i="1"/>
  <c r="F241" i="1"/>
  <c r="E241" i="1"/>
  <c r="G235" i="1"/>
  <c r="F235" i="1"/>
  <c r="E235" i="1"/>
  <c r="G233" i="1"/>
  <c r="F233" i="1"/>
  <c r="E233" i="1"/>
  <c r="G231" i="1"/>
  <c r="F231" i="1"/>
  <c r="E231" i="1"/>
  <c r="G229" i="1"/>
  <c r="F229" i="1"/>
  <c r="E229" i="1"/>
  <c r="G210" i="1"/>
  <c r="F210" i="1"/>
  <c r="E210" i="1"/>
  <c r="G198" i="1"/>
  <c r="F198" i="1"/>
  <c r="E198" i="1"/>
  <c r="G196" i="1"/>
  <c r="F196" i="1"/>
  <c r="E196" i="1"/>
  <c r="G193" i="1"/>
  <c r="G190" i="1" s="1"/>
  <c r="F193" i="1"/>
  <c r="F190" i="1" s="1"/>
  <c r="E193" i="1"/>
  <c r="E190" i="1" s="1"/>
  <c r="G186" i="1"/>
  <c r="F186" i="1"/>
  <c r="E186" i="1"/>
  <c r="G184" i="1"/>
  <c r="F184" i="1"/>
  <c r="E184" i="1"/>
  <c r="G182" i="1"/>
  <c r="F182" i="1"/>
  <c r="E182" i="1"/>
  <c r="G170" i="1"/>
  <c r="F170" i="1"/>
  <c r="E170" i="1"/>
  <c r="G168" i="1"/>
  <c r="F168" i="1"/>
  <c r="E168" i="1"/>
  <c r="G163" i="1"/>
  <c r="F163" i="1"/>
  <c r="E163" i="1"/>
  <c r="G151" i="1"/>
  <c r="F151" i="1"/>
  <c r="E151" i="1"/>
  <c r="G149" i="1"/>
  <c r="F149" i="1"/>
  <c r="E149" i="1"/>
  <c r="G135" i="1"/>
  <c r="F135" i="1"/>
  <c r="E135" i="1"/>
  <c r="G133" i="1"/>
  <c r="F133" i="1"/>
  <c r="E133" i="1"/>
  <c r="G131" i="1"/>
  <c r="F131" i="1"/>
  <c r="E131" i="1"/>
  <c r="F148" i="1" l="1"/>
  <c r="F147" i="1" s="1"/>
  <c r="E228" i="1"/>
  <c r="E227" i="1" s="1"/>
  <c r="E222" i="1" s="1"/>
  <c r="E221" i="1" s="1"/>
  <c r="G148" i="1"/>
  <c r="G147" i="1" s="1"/>
  <c r="E148" i="1"/>
  <c r="E147" i="1" s="1"/>
  <c r="G305" i="1"/>
  <c r="G304" i="1" s="1"/>
  <c r="G297" i="1" s="1"/>
  <c r="G296" i="1" s="1"/>
  <c r="F305" i="1"/>
  <c r="F304" i="1" s="1"/>
  <c r="F297" i="1" s="1"/>
  <c r="F296" i="1" s="1"/>
  <c r="E130" i="1"/>
  <c r="E129" i="1" s="1"/>
  <c r="E128" i="1" s="1"/>
  <c r="E127" i="1" s="1"/>
  <c r="F130" i="1"/>
  <c r="F129" i="1" s="1"/>
  <c r="F128" i="1" s="1"/>
  <c r="F127" i="1" s="1"/>
  <c r="G130" i="1"/>
  <c r="G129" i="1" s="1"/>
  <c r="G128" i="1" s="1"/>
  <c r="G127" i="1" s="1"/>
  <c r="G228" i="1"/>
  <c r="F228" i="1"/>
  <c r="F209" i="1"/>
  <c r="F208" i="1" s="1"/>
  <c r="F207" i="1" s="1"/>
  <c r="F201" i="1" s="1"/>
  <c r="G209" i="1"/>
  <c r="G208" i="1" s="1"/>
  <c r="G207" i="1" s="1"/>
  <c r="G201" i="1" s="1"/>
  <c r="E209" i="1"/>
  <c r="E208" i="1" s="1"/>
  <c r="E207" i="1" s="1"/>
  <c r="E201" i="1" s="1"/>
  <c r="E304" i="1"/>
  <c r="F195" i="1"/>
  <c r="F189" i="1" s="1"/>
  <c r="F188" i="1" s="1"/>
  <c r="G195" i="1"/>
  <c r="G189" i="1" s="1"/>
  <c r="G188" i="1" s="1"/>
  <c r="F181" i="1"/>
  <c r="F180" i="1" s="1"/>
  <c r="F179" i="1" s="1"/>
  <c r="E195" i="1"/>
  <c r="E189" i="1" s="1"/>
  <c r="E188" i="1" s="1"/>
  <c r="G181" i="1"/>
  <c r="G180" i="1" s="1"/>
  <c r="G179" i="1" s="1"/>
  <c r="E181" i="1"/>
  <c r="E180" i="1" s="1"/>
  <c r="E179" i="1" s="1"/>
  <c r="E297" i="1" l="1"/>
  <c r="E296" i="1" s="1"/>
  <c r="F140" i="1"/>
  <c r="F139" i="1" s="1"/>
  <c r="G140" i="1"/>
  <c r="G139" i="1" s="1"/>
  <c r="E140" i="1"/>
  <c r="E139" i="1" s="1"/>
  <c r="F227" i="1"/>
  <c r="G227" i="1"/>
  <c r="F178" i="1"/>
  <c r="E178" i="1"/>
  <c r="G178" i="1"/>
  <c r="F222" i="1" l="1"/>
  <c r="F221" i="1" s="1"/>
  <c r="F200" i="1" s="1"/>
  <c r="G222" i="1"/>
  <c r="G221" i="1" s="1"/>
  <c r="G200" i="1" s="1"/>
  <c r="E200" i="1"/>
  <c r="E120" i="1"/>
  <c r="F120" i="1"/>
  <c r="G120" i="1"/>
  <c r="G635" i="1" l="1"/>
  <c r="F635" i="1"/>
  <c r="E635" i="1"/>
  <c r="G632" i="1"/>
  <c r="F632" i="1"/>
  <c r="E632" i="1"/>
  <c r="G629" i="1"/>
  <c r="F629" i="1"/>
  <c r="E629" i="1"/>
  <c r="G624" i="1"/>
  <c r="G623" i="1" s="1"/>
  <c r="F624" i="1"/>
  <c r="F623" i="1" s="1"/>
  <c r="E624" i="1"/>
  <c r="E623" i="1" s="1"/>
  <c r="G667" i="1"/>
  <c r="G666" i="1" s="1"/>
  <c r="F667" i="1"/>
  <c r="F666" i="1" s="1"/>
  <c r="E667" i="1"/>
  <c r="E666" i="1" s="1"/>
  <c r="G664" i="1"/>
  <c r="G663" i="1" s="1"/>
  <c r="F664" i="1"/>
  <c r="F663" i="1" s="1"/>
  <c r="E664" i="1"/>
  <c r="E663" i="1" s="1"/>
  <c r="E538" i="1"/>
  <c r="F538" i="1" s="1"/>
  <c r="G533" i="1"/>
  <c r="F533" i="1"/>
  <c r="G531" i="1"/>
  <c r="F531" i="1"/>
  <c r="G529" i="1"/>
  <c r="F529" i="1"/>
  <c r="G523" i="1"/>
  <c r="F523" i="1"/>
  <c r="E523" i="1"/>
  <c r="G521" i="1"/>
  <c r="F521" i="1"/>
  <c r="E521" i="1"/>
  <c r="E520" i="1" s="1"/>
  <c r="G518" i="1"/>
  <c r="G517" i="1" s="1"/>
  <c r="F518" i="1"/>
  <c r="F517" i="1" s="1"/>
  <c r="E518" i="1"/>
  <c r="E517" i="1" s="1"/>
  <c r="G515" i="1"/>
  <c r="F515" i="1"/>
  <c r="E515" i="1"/>
  <c r="G513" i="1"/>
  <c r="F513" i="1"/>
  <c r="E513" i="1"/>
  <c r="G511" i="1"/>
  <c r="F511" i="1"/>
  <c r="E511" i="1"/>
  <c r="G509" i="1"/>
  <c r="F509" i="1"/>
  <c r="E509" i="1"/>
  <c r="E508" i="1" s="1"/>
  <c r="E505" i="1"/>
  <c r="G505" i="1"/>
  <c r="F505" i="1"/>
  <c r="G502" i="1"/>
  <c r="F502" i="1"/>
  <c r="E502" i="1"/>
  <c r="G500" i="1"/>
  <c r="F500" i="1"/>
  <c r="E500" i="1"/>
  <c r="G476" i="1"/>
  <c r="G475" i="1" s="1"/>
  <c r="G474" i="1" s="1"/>
  <c r="G473" i="1" s="1"/>
  <c r="F476" i="1"/>
  <c r="F475" i="1" s="1"/>
  <c r="F474" i="1" s="1"/>
  <c r="F473" i="1" s="1"/>
  <c r="E476" i="1"/>
  <c r="E475" i="1" s="1"/>
  <c r="E474" i="1" s="1"/>
  <c r="E473" i="1" s="1"/>
  <c r="G471" i="1"/>
  <c r="F471" i="1"/>
  <c r="E471" i="1"/>
  <c r="G469" i="1"/>
  <c r="G468" i="1" s="1"/>
  <c r="F469" i="1"/>
  <c r="F468" i="1" s="1"/>
  <c r="E468" i="1"/>
  <c r="G467" i="1"/>
  <c r="G466" i="1" s="1"/>
  <c r="F466" i="1"/>
  <c r="E466" i="1"/>
  <c r="G460" i="1"/>
  <c r="F460" i="1"/>
  <c r="E460" i="1"/>
  <c r="G458" i="1"/>
  <c r="F458" i="1"/>
  <c r="E458" i="1"/>
  <c r="G456" i="1"/>
  <c r="F456" i="1"/>
  <c r="E456" i="1"/>
  <c r="G452" i="1"/>
  <c r="F452" i="1"/>
  <c r="E452" i="1"/>
  <c r="G445" i="1"/>
  <c r="F445" i="1"/>
  <c r="E445" i="1"/>
  <c r="G443" i="1"/>
  <c r="F443" i="1"/>
  <c r="G441" i="1"/>
  <c r="F441" i="1"/>
  <c r="E441" i="1"/>
  <c r="G439" i="1"/>
  <c r="F439" i="1"/>
  <c r="E439" i="1"/>
  <c r="G435" i="1"/>
  <c r="F435" i="1"/>
  <c r="E435" i="1"/>
  <c r="G433" i="1"/>
  <c r="F433" i="1"/>
  <c r="E433" i="1"/>
  <c r="G431" i="1"/>
  <c r="F431" i="1"/>
  <c r="E431" i="1"/>
  <c r="E429" i="1"/>
  <c r="G429" i="1"/>
  <c r="F429" i="1"/>
  <c r="G427" i="1"/>
  <c r="F427" i="1"/>
  <c r="E427" i="1"/>
  <c r="G397" i="1"/>
  <c r="G396" i="1" s="1"/>
  <c r="F397" i="1"/>
  <c r="F396" i="1" s="1"/>
  <c r="E397" i="1"/>
  <c r="E396" i="1" s="1"/>
  <c r="G394" i="1"/>
  <c r="F394" i="1"/>
  <c r="E394" i="1"/>
  <c r="G391" i="1"/>
  <c r="F391" i="1"/>
  <c r="E391" i="1"/>
  <c r="G389" i="1"/>
  <c r="F389" i="1"/>
  <c r="E389" i="1"/>
  <c r="E383" i="1"/>
  <c r="G383" i="1"/>
  <c r="F383" i="1"/>
  <c r="G678" i="1"/>
  <c r="F678" i="1"/>
  <c r="E678" i="1"/>
  <c r="G676" i="1"/>
  <c r="F676" i="1"/>
  <c r="E676" i="1"/>
  <c r="G658" i="1"/>
  <c r="F658" i="1"/>
  <c r="E658" i="1"/>
  <c r="G656" i="1"/>
  <c r="F657" i="1"/>
  <c r="F656" i="1" s="1"/>
  <c r="E656" i="1"/>
  <c r="G653" i="1"/>
  <c r="G652" i="1" s="1"/>
  <c r="G651" i="1" s="1"/>
  <c r="G647" i="1" s="1"/>
  <c r="F653" i="1"/>
  <c r="F652" i="1" s="1"/>
  <c r="F651" i="1" s="1"/>
  <c r="F647" i="1" s="1"/>
  <c r="E653" i="1"/>
  <c r="E652" i="1" s="1"/>
  <c r="E651" i="1" s="1"/>
  <c r="E647" i="1" s="1"/>
  <c r="G643" i="1"/>
  <c r="G642" i="1" s="1"/>
  <c r="G641" i="1" s="1"/>
  <c r="G640" i="1" s="1"/>
  <c r="F643" i="1"/>
  <c r="F642" i="1" s="1"/>
  <c r="F641" i="1" s="1"/>
  <c r="F640" i="1" s="1"/>
  <c r="E643" i="1"/>
  <c r="E642" i="1" s="1"/>
  <c r="E641" i="1" s="1"/>
  <c r="E640" i="1" s="1"/>
  <c r="E639" i="1" s="1"/>
  <c r="E499" i="1" l="1"/>
  <c r="G499" i="1"/>
  <c r="F499" i="1"/>
  <c r="E424" i="1"/>
  <c r="F424" i="1"/>
  <c r="G424" i="1"/>
  <c r="F520" i="1"/>
  <c r="G520" i="1"/>
  <c r="E451" i="1"/>
  <c r="G655" i="1"/>
  <c r="G654" i="1" s="1"/>
  <c r="G646" i="1" s="1"/>
  <c r="G645" i="1" s="1"/>
  <c r="F655" i="1"/>
  <c r="F654" i="1" s="1"/>
  <c r="F646" i="1" s="1"/>
  <c r="F645" i="1" s="1"/>
  <c r="E675" i="1"/>
  <c r="E674" i="1" s="1"/>
  <c r="E669" i="1" s="1"/>
  <c r="F675" i="1"/>
  <c r="F674" i="1" s="1"/>
  <c r="F669" i="1" s="1"/>
  <c r="G675" i="1"/>
  <c r="G674" i="1" s="1"/>
  <c r="G669" i="1" s="1"/>
  <c r="G628" i="1"/>
  <c r="G622" i="1" s="1"/>
  <c r="G621" i="1" s="1"/>
  <c r="G607" i="1" s="1"/>
  <c r="F662" i="1"/>
  <c r="F661" i="1" s="1"/>
  <c r="E628" i="1"/>
  <c r="E622" i="1" s="1"/>
  <c r="E621" i="1" s="1"/>
  <c r="E607" i="1" s="1"/>
  <c r="F628" i="1"/>
  <c r="F622" i="1" s="1"/>
  <c r="F621" i="1" s="1"/>
  <c r="F607" i="1" s="1"/>
  <c r="G662" i="1"/>
  <c r="G661" i="1" s="1"/>
  <c r="E662" i="1"/>
  <c r="E661" i="1" s="1"/>
  <c r="E528" i="1"/>
  <c r="G528" i="1"/>
  <c r="F508" i="1"/>
  <c r="F528" i="1"/>
  <c r="G508" i="1"/>
  <c r="G538" i="1"/>
  <c r="G537" i="1" s="1"/>
  <c r="F537" i="1"/>
  <c r="E537" i="1"/>
  <c r="E465" i="1"/>
  <c r="E464" i="1" s="1"/>
  <c r="E463" i="1" s="1"/>
  <c r="E462" i="1" s="1"/>
  <c r="F451" i="1"/>
  <c r="F465" i="1"/>
  <c r="F464" i="1" s="1"/>
  <c r="F463" i="1" s="1"/>
  <c r="F462" i="1" s="1"/>
  <c r="G451" i="1"/>
  <c r="E388" i="1"/>
  <c r="E387" i="1" s="1"/>
  <c r="E380" i="1" s="1"/>
  <c r="E379" i="1" s="1"/>
  <c r="G388" i="1"/>
  <c r="G387" i="1" s="1"/>
  <c r="G380" i="1" s="1"/>
  <c r="F388" i="1"/>
  <c r="F387" i="1" s="1"/>
  <c r="G465" i="1"/>
  <c r="G464" i="1" s="1"/>
  <c r="G463" i="1" s="1"/>
  <c r="G462" i="1" s="1"/>
  <c r="E655" i="1"/>
  <c r="E654" i="1" s="1"/>
  <c r="E646" i="1" s="1"/>
  <c r="E645" i="1" s="1"/>
  <c r="F639" i="1"/>
  <c r="G639" i="1"/>
  <c r="E527" i="1" l="1"/>
  <c r="F380" i="1"/>
  <c r="F379" i="1" s="1"/>
  <c r="G379" i="1"/>
  <c r="E498" i="1"/>
  <c r="E497" i="1" s="1"/>
  <c r="E496" i="1" s="1"/>
  <c r="E660" i="1"/>
  <c r="E638" i="1" s="1"/>
  <c r="G660" i="1"/>
  <c r="G638" i="1" s="1"/>
  <c r="F660" i="1"/>
  <c r="F638" i="1" s="1"/>
  <c r="G527" i="1"/>
  <c r="G498" i="1" s="1"/>
  <c r="G497" i="1" s="1"/>
  <c r="G496" i="1" s="1"/>
  <c r="F527" i="1"/>
  <c r="F498" i="1" s="1"/>
  <c r="F497" i="1" s="1"/>
  <c r="F496" i="1" s="1"/>
  <c r="G423" i="1"/>
  <c r="G400" i="1" s="1"/>
  <c r="E423" i="1"/>
  <c r="E400" i="1" s="1"/>
  <c r="F423" i="1"/>
  <c r="F400" i="1" s="1"/>
  <c r="F399" i="1" l="1"/>
  <c r="E399" i="1"/>
  <c r="G399" i="1"/>
  <c r="G688" i="1"/>
  <c r="G687" i="1" s="1"/>
  <c r="G686" i="1" s="1"/>
  <c r="G685" i="1" s="1"/>
  <c r="F688" i="1"/>
  <c r="F687" i="1" s="1"/>
  <c r="F686" i="1" s="1"/>
  <c r="F685" i="1" s="1"/>
  <c r="E688" i="1"/>
  <c r="E687" i="1" s="1"/>
  <c r="E686" i="1" s="1"/>
  <c r="E685" i="1" s="1"/>
  <c r="G596" i="1"/>
  <c r="F596" i="1"/>
  <c r="E596" i="1"/>
  <c r="G594" i="1"/>
  <c r="F594" i="1"/>
  <c r="E594" i="1"/>
  <c r="G592" i="1"/>
  <c r="F592" i="1"/>
  <c r="E592" i="1"/>
  <c r="G590" i="1"/>
  <c r="F590" i="1"/>
  <c r="E590" i="1"/>
  <c r="G588" i="1"/>
  <c r="F588" i="1"/>
  <c r="E588" i="1"/>
  <c r="G584" i="1"/>
  <c r="G583" i="1" s="1"/>
  <c r="G582" i="1" s="1"/>
  <c r="F584" i="1"/>
  <c r="F583" i="1" s="1"/>
  <c r="F582" i="1" s="1"/>
  <c r="E584" i="1"/>
  <c r="E583" i="1" s="1"/>
  <c r="E582" i="1" s="1"/>
  <c r="G494" i="1"/>
  <c r="F494" i="1"/>
  <c r="E494" i="1"/>
  <c r="G492" i="1"/>
  <c r="F492" i="1"/>
  <c r="E492" i="1"/>
  <c r="G490" i="1"/>
  <c r="F490" i="1"/>
  <c r="E490" i="1"/>
  <c r="G486" i="1"/>
  <c r="G485" i="1" s="1"/>
  <c r="G484" i="1" s="1"/>
  <c r="F486" i="1"/>
  <c r="F485" i="1" s="1"/>
  <c r="F484" i="1" s="1"/>
  <c r="E486" i="1"/>
  <c r="E485" i="1" s="1"/>
  <c r="E484" i="1" s="1"/>
  <c r="E587" i="1" l="1"/>
  <c r="E586" i="1" s="1"/>
  <c r="E489" i="1"/>
  <c r="E488" i="1" s="1"/>
  <c r="F489" i="1"/>
  <c r="F488" i="1" s="1"/>
  <c r="F479" i="1" s="1"/>
  <c r="G489" i="1"/>
  <c r="G488" i="1" s="1"/>
  <c r="F587" i="1"/>
  <c r="F586" i="1" s="1"/>
  <c r="G587" i="1"/>
  <c r="G586" i="1" s="1"/>
  <c r="G479" i="1" l="1"/>
  <c r="G478" i="1" s="1"/>
  <c r="G378" i="1" s="1"/>
  <c r="F478" i="1"/>
  <c r="F378" i="1" s="1"/>
  <c r="E479" i="1"/>
  <c r="E478" i="1" s="1"/>
  <c r="E378" i="1" s="1"/>
  <c r="G581" i="1"/>
  <c r="F581" i="1"/>
  <c r="E581" i="1"/>
  <c r="G579" i="1"/>
  <c r="F579" i="1"/>
  <c r="E579" i="1"/>
  <c r="G577" i="1"/>
  <c r="F577" i="1"/>
  <c r="E577" i="1"/>
  <c r="G574" i="1"/>
  <c r="F574" i="1"/>
  <c r="E574" i="1"/>
  <c r="G572" i="1"/>
  <c r="F572" i="1"/>
  <c r="E572" i="1"/>
  <c r="G569" i="1"/>
  <c r="F569" i="1"/>
  <c r="E569" i="1"/>
  <c r="G566" i="1"/>
  <c r="F566" i="1"/>
  <c r="E566" i="1"/>
  <c r="G562" i="1"/>
  <c r="G561" i="1" s="1"/>
  <c r="G560" i="1" s="1"/>
  <c r="F562" i="1"/>
  <c r="F561" i="1" s="1"/>
  <c r="F560" i="1" s="1"/>
  <c r="E562" i="1"/>
  <c r="E561" i="1" s="1"/>
  <c r="E560" i="1" s="1"/>
  <c r="E556" i="1"/>
  <c r="E555" i="1" s="1"/>
  <c r="G556" i="1"/>
  <c r="G555" i="1" s="1"/>
  <c r="G554" i="1" s="1"/>
  <c r="F556" i="1"/>
  <c r="F555" i="1" s="1"/>
  <c r="F554" i="1" s="1"/>
  <c r="G118" i="1"/>
  <c r="F118" i="1"/>
  <c r="G115" i="1"/>
  <c r="G114" i="1" s="1"/>
  <c r="F115" i="1"/>
  <c r="F114" i="1" s="1"/>
  <c r="E114" i="1"/>
  <c r="G112" i="1"/>
  <c r="F112" i="1"/>
  <c r="E112" i="1"/>
  <c r="G108" i="1"/>
  <c r="G107" i="1" s="1"/>
  <c r="G106" i="1" s="1"/>
  <c r="F108" i="1"/>
  <c r="F107" i="1" s="1"/>
  <c r="F106" i="1" s="1"/>
  <c r="E108" i="1"/>
  <c r="E107" i="1" s="1"/>
  <c r="E106" i="1" s="1"/>
  <c r="F542" i="1" l="1"/>
  <c r="F541" i="1" s="1"/>
  <c r="G542" i="1"/>
  <c r="G541" i="1" s="1"/>
  <c r="E554" i="1"/>
  <c r="E542" i="1" s="1"/>
  <c r="F571" i="1"/>
  <c r="E565" i="1"/>
  <c r="G116" i="1"/>
  <c r="G111" i="1" s="1"/>
  <c r="G110" i="1" s="1"/>
  <c r="G105" i="1" s="1"/>
  <c r="G104" i="1" s="1"/>
  <c r="G103" i="1" s="1"/>
  <c r="F116" i="1"/>
  <c r="F111" i="1" s="1"/>
  <c r="F110" i="1" s="1"/>
  <c r="F105" i="1" s="1"/>
  <c r="F104" i="1" s="1"/>
  <c r="F103" i="1" s="1"/>
  <c r="E116" i="1"/>
  <c r="E111" i="1" s="1"/>
  <c r="E110" i="1" s="1"/>
  <c r="E105" i="1" s="1"/>
  <c r="E104" i="1" s="1"/>
  <c r="E103" i="1" s="1"/>
  <c r="G565" i="1"/>
  <c r="F576" i="1"/>
  <c r="F565" i="1"/>
  <c r="E576" i="1"/>
  <c r="G571" i="1"/>
  <c r="G576" i="1"/>
  <c r="E571" i="1"/>
  <c r="E541" i="1" l="1"/>
  <c r="E564" i="1"/>
  <c r="E559" i="1" s="1"/>
  <c r="F564" i="1"/>
  <c r="F559" i="1" s="1"/>
  <c r="F558" i="1" s="1"/>
  <c r="F540" i="1" s="1"/>
  <c r="G564" i="1"/>
  <c r="G559" i="1" s="1"/>
  <c r="G558" i="1" s="1"/>
  <c r="G540" i="1" s="1"/>
  <c r="E558" i="1" l="1"/>
  <c r="E540" i="1" s="1"/>
  <c r="E30" i="1"/>
  <c r="F86" i="1" l="1"/>
  <c r="G86" i="1"/>
  <c r="E86" i="1"/>
  <c r="G69" i="1"/>
  <c r="F69" i="1"/>
  <c r="E69" i="1"/>
  <c r="F56" i="1"/>
  <c r="G56" i="1"/>
  <c r="E56" i="1"/>
  <c r="G55" i="1"/>
  <c r="F55" i="1"/>
  <c r="G54" i="1"/>
  <c r="F54" i="1"/>
  <c r="F79" i="1"/>
  <c r="F78" i="1" s="1"/>
  <c r="G79" i="1"/>
  <c r="G78" i="1" s="1"/>
  <c r="E78" i="1"/>
  <c r="G49" i="1"/>
  <c r="G48" i="1" s="1"/>
  <c r="G47" i="1" s="1"/>
  <c r="G46" i="1" s="1"/>
  <c r="F49" i="1"/>
  <c r="F48" i="1" s="1"/>
  <c r="F47" i="1" s="1"/>
  <c r="F46" i="1" s="1"/>
  <c r="E49" i="1"/>
  <c r="E48" i="1" s="1"/>
  <c r="E47" i="1" s="1"/>
  <c r="E46" i="1" s="1"/>
  <c r="F43" i="1"/>
  <c r="E43" i="1"/>
  <c r="G40" i="1"/>
  <c r="F40" i="1"/>
  <c r="E40" i="1"/>
  <c r="G38" i="1"/>
  <c r="F38" i="1"/>
  <c r="E38" i="1"/>
  <c r="G36" i="1"/>
  <c r="F36" i="1"/>
  <c r="E36" i="1"/>
  <c r="G30" i="1"/>
  <c r="F30" i="1"/>
  <c r="G13" i="1"/>
  <c r="G12" i="1" s="1"/>
  <c r="G11" i="1" s="1"/>
  <c r="F13" i="1"/>
  <c r="F12" i="1" s="1"/>
  <c r="F11" i="1" s="1"/>
  <c r="E13" i="1"/>
  <c r="E12" i="1" s="1"/>
  <c r="E11" i="1" s="1"/>
  <c r="G84" i="1"/>
  <c r="F84" i="1"/>
  <c r="E84" i="1"/>
  <c r="G26" i="1"/>
  <c r="F26" i="1"/>
  <c r="E26" i="1"/>
  <c r="G23" i="1"/>
  <c r="F23" i="1"/>
  <c r="E23" i="1"/>
  <c r="G21" i="1"/>
  <c r="F21" i="1"/>
  <c r="E21" i="1"/>
  <c r="G19" i="1"/>
  <c r="F19" i="1"/>
  <c r="E19" i="1"/>
  <c r="G17" i="1"/>
  <c r="F17" i="1"/>
  <c r="E17" i="1"/>
  <c r="E68" i="1" l="1"/>
  <c r="E67" i="1" s="1"/>
  <c r="E35" i="1"/>
  <c r="E29" i="1" s="1"/>
  <c r="E28" i="1" s="1"/>
  <c r="F68" i="1"/>
  <c r="G68" i="1"/>
  <c r="E16" i="1"/>
  <c r="E15" i="1" s="1"/>
  <c r="G53" i="1"/>
  <c r="G52" i="1" s="1"/>
  <c r="G51" i="1" s="1"/>
  <c r="F53" i="1"/>
  <c r="F52" i="1" s="1"/>
  <c r="F51" i="1" s="1"/>
  <c r="E53" i="1"/>
  <c r="E52" i="1" s="1"/>
  <c r="E51" i="1" s="1"/>
  <c r="G35" i="1"/>
  <c r="G29" i="1" s="1"/>
  <c r="G28" i="1" s="1"/>
  <c r="F35" i="1"/>
  <c r="F29" i="1" s="1"/>
  <c r="F28" i="1" s="1"/>
  <c r="G16" i="1"/>
  <c r="G15" i="1" s="1"/>
  <c r="F16" i="1"/>
  <c r="F15" i="1" s="1"/>
  <c r="E10" i="1" l="1"/>
  <c r="G67" i="1"/>
  <c r="G10" i="1" s="1"/>
  <c r="F67" i="1"/>
  <c r="F10" i="1" s="1"/>
  <c r="F691" i="1" l="1"/>
  <c r="G691" i="1"/>
  <c r="E691" i="1"/>
</calcChain>
</file>

<file path=xl/sharedStrings.xml><?xml version="1.0" encoding="utf-8"?>
<sst xmlns="http://schemas.openxmlformats.org/spreadsheetml/2006/main" count="2082" uniqueCount="651">
  <si>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</si>
  <si>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</si>
  <si>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</si>
  <si>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</si>
  <si>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</si>
  <si>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</si>
  <si>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</si>
  <si>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</si>
  <si>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</si>
  <si>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</si>
  <si>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</si>
  <si>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</si>
  <si>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</si>
  <si>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</si>
  <si>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</si>
  <si>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</si>
  <si>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</si>
  <si>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</si>
  <si>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</si>
  <si>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</si>
  <si>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</si>
  <si>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</si>
  <si>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</si>
  <si>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</si>
  <si>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</si>
  <si>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</si>
  <si>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</si>
  <si>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</si>
  <si>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</si>
  <si>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</si>
  <si>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</si>
  <si>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</si>
  <si>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</si>
  <si>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</si>
  <si>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</si>
  <si>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</si>
  <si>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</si>
  <si>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</si>
  <si>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</si>
  <si>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</si>
  <si>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</si>
  <si>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</si>
  <si>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</si>
  <si>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</si>
  <si>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</si>
  <si>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</si>
  <si>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</si>
  <si>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</si>
  <si>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</si>
  <si>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</si>
  <si>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</si>
  <si>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</si>
  <si>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</si>
  <si>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</si>
  <si>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</si>
  <si>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</si>
  <si>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</si>
  <si>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</si>
  <si>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</si>
  <si>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</si>
  <si>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</si>
  <si>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</si>
  <si>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</si>
  <si>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</si>
  <si>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</si>
  <si>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</si>
  <si>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</si>
  <si>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</si>
  <si>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</si>
  <si>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</si>
  <si>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</si>
  <si>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</si>
  <si>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</si>
  <si>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</si>
  <si>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</si>
  <si>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</si>
  <si>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</si>
  <si>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</si>
  <si>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</si>
  <si>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</si>
  <si>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</si>
  <si>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</si>
  <si>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</si>
  <si>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</si>
  <si>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</si>
  <si>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</si>
  <si>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</si>
  <si>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</si>
  <si>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</si>
  <si>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</si>
  <si>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</si>
  <si>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</si>
  <si>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</si>
  <si>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</si>
  <si>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</si>
  <si>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</si>
  <si>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</si>
  <si>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</si>
  <si>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</si>
  <si>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</si>
  <si>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</si>
  <si>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</si>
  <si>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</si>
  <si>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</si>
  <si>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</si>
  <si>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</si>
  <si>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</si>
  <si>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</si>
  <si>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</si>
  <si>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</si>
  <si>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</si>
  <si>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</si>
  <si>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</si>
  <si>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</si>
  <si>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</si>
  <si>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</si>
  <si>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</si>
  <si>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</si>
  <si>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</si>
  <si>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</si>
  <si>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</si>
  <si>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</si>
  <si>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</si>
  <si>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</si>
  <si>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</si>
  <si>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</si>
  <si>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</si>
  <si>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</si>
  <si>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</si>
  <si>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</si>
  <si>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</si>
  <si>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</si>
  <si>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</si>
  <si>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</si>
  <si>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</si>
  <si>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</si>
  <si>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</si>
  <si>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</si>
  <si>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</si>
  <si>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</si>
  <si>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</si>
  <si>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</si>
  <si>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</si>
  <si>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</si>
  <si>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</si>
  <si>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</si>
  <si>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</si>
  <si>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</si>
  <si>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</si>
  <si>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</si>
  <si>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</si>
  <si>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</si>
  <si>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</si>
  <si>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</si>
  <si>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</si>
  <si>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</si>
  <si>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</si>
  <si>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</si>
  <si>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</si>
  <si>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</si>
  <si>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</si>
  <si>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</si>
  <si>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</si>
  <si>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</si>
  <si>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</si>
  <si>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</si>
  <si>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</si>
  <si>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</si>
  <si>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</si>
  <si>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</si>
  <si>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</si>
  <si>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</si>
  <si>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</si>
  <si>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</si>
  <si>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</si>
  <si>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</si>
  <si>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</si>
  <si>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</si>
  <si>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</si>
  <si>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</si>
  <si>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</si>
  <si>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</si>
  <si>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</si>
  <si>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</si>
  <si>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</si>
  <si>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</si>
  <si>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</si>
  <si>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</si>
  <si>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</si>
  <si>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</si>
  <si>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</si>
  <si>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</si>
  <si>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</si>
  <si>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</si>
  <si>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</si>
  <si>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</si>
  <si>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</si>
  <si>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</si>
  <si>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</si>
  <si>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</si>
  <si>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</si>
  <si>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</si>
  <si>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</si>
  <si>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</si>
  <si>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</si>
  <si>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</si>
  <si>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</si>
  <si>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</si>
  <si>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</si>
  <si>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</si>
  <si>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</si>
  <si>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</si>
  <si>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</si>
  <si>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</si>
  <si>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</si>
  <si>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</si>
  <si>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</si>
  <si>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</si>
  <si>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</si>
  <si>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</si>
  <si>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</si>
  <si>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</si>
  <si>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</si>
  <si>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</si>
  <si>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</si>
  <si>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</si>
  <si>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</si>
  <si>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</si>
  <si>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</si>
  <si>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</si>
  <si>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</si>
  <si>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</si>
  <si>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</si>
  <si>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</si>
  <si>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</si>
  <si>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</si>
  <si>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</si>
  <si>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</si>
  <si>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</si>
  <si>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</si>
  <si>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</si>
  <si>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</si>
  <si>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</si>
  <si>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</si>
  <si>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</si>
  <si>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</si>
  <si>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</si>
  <si>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</si>
  <si>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</si>
  <si>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</si>
  <si>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</si>
  <si>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</si>
  <si>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</si>
  <si>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</si>
  <si>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</si>
  <si>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</si>
  <si>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</si>
  <si>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</si>
  <si>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</si>
  <si>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</si>
  <si>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</si>
  <si>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</si>
  <si>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</si>
  <si>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</si>
  <si>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</si>
  <si>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</si>
  <si>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</si>
  <si>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</si>
  <si>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</si>
  <si>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</si>
  <si>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</si>
  <si>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</si>
  <si>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</si>
  <si>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</si>
  <si>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</si>
  <si>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</si>
  <si>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</si>
  <si>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</si>
  <si>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</si>
  <si>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</si>
  <si>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</si>
  <si>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</si>
  <si>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</si>
  <si>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</si>
  <si>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</si>
  <si>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</si>
  <si>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</si>
  <si>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</si>
  <si>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</si>
  <si>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</si>
  <si>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</si>
  <si>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</si>
  <si>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</si>
  <si>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</si>
  <si>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</si>
  <si>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</si>
  <si>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</si>
  <si>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</si>
  <si>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</si>
  <si>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</si>
  <si>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</si>
  <si>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</si>
  <si>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</si>
  <si>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</si>
  <si>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</si>
  <si>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</si>
  <si>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</si>
  <si>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</si>
  <si>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</si>
  <si>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</si>
  <si>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</si>
  <si>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</si>
  <si>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</si>
  <si>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</si>
  <si>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</si>
  <si>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</si>
  <si>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</si>
  <si>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</si>
  <si>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</si>
  <si>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</si>
  <si>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</si>
  <si>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</si>
  <si>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</si>
  <si>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</si>
  <si>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</si>
  <si>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</si>
  <si>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</si>
  <si>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</si>
  <si>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</si>
  <si>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</si>
  <si>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</si>
  <si>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</si>
  <si>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</si>
  <si>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</si>
  <si>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</si>
  <si>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</si>
  <si>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</si>
  <si>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</si>
  <si>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</si>
  <si>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</si>
  <si>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</si>
  <si>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</si>
  <si>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</si>
  <si>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</si>
  <si>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</si>
  <si>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</si>
  <si>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</si>
  <si>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</si>
  <si>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</si>
  <si>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</si>
  <si>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</si>
  <si>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</si>
  <si>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</si>
  <si>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</si>
  <si>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</si>
  <si>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</si>
  <si>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</si>
  <si>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</si>
  <si>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</si>
  <si>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</si>
  <si>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</si>
  <si>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</si>
  <si>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</si>
  <si>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</si>
  <si>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</si>
  <si>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</si>
  <si>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</si>
  <si>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</si>
  <si>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</si>
  <si>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</si>
  <si>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</si>
  <si>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</si>
  <si>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</si>
  <si>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</si>
  <si>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</si>
  <si>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</si>
  <si>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</si>
  <si>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</si>
  <si>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</si>
  <si>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</si>
  <si>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</si>
  <si>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</si>
  <si>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</si>
  <si>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</si>
  <si>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</si>
  <si>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</si>
  <si>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</si>
  <si>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</si>
  <si>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</si>
  <si>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</si>
  <si>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</si>
  <si>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</si>
  <si>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</si>
  <si>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</si>
  <si>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</si>
  <si>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</si>
  <si>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</si>
  <si>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</si>
  <si>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</si>
  <si>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</si>
  <si>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</si>
  <si>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</si>
  <si>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</si>
  <si>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</si>
  <si>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</si>
  <si>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</si>
  <si>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</si>
  <si>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</si>
  <si>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</si>
  <si>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</si>
  <si>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</si>
  <si>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</si>
  <si>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</si>
  <si>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</si>
  <si>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</si>
  <si>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</si>
  <si>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</si>
  <si>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</si>
  <si>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</si>
  <si>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</si>
  <si>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</si>
  <si>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</si>
  <si>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</si>
  <si>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</si>
  <si>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</si>
  <si>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</si>
  <si>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</si>
  <si>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</si>
  <si>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</si>
  <si>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</si>
  <si>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</si>
  <si>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</si>
  <si>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</si>
  <si>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</si>
  <si>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</si>
  <si>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</si>
  <si>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</si>
  <si>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</si>
  <si>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</si>
  <si>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</si>
  <si>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</si>
  <si>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</si>
  <si>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</si>
  <si>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</si>
  <si>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</si>
  <si>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</si>
  <si>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</si>
  <si>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</si>
  <si>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</si>
  <si>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</si>
  <si>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</si>
  <si>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</si>
  <si>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</si>
  <si>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</si>
  <si>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</si>
  <si>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</si>
  <si>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</si>
  <si>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</si>
  <si>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</si>
  <si>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</si>
  <si>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</si>
  <si>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</si>
  <si>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</si>
  <si>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</si>
  <si>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</si>
  <si>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</si>
  <si>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</si>
  <si>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</si>
  <si>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</si>
  <si>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</si>
  <si>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</si>
  <si>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</si>
  <si>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</si>
  <si>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</si>
  <si>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</si>
  <si>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</si>
  <si>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</si>
  <si>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</si>
  <si>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</si>
  <si>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</si>
  <si>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</si>
  <si>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</si>
  <si>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</si>
  <si>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</si>
  <si>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</si>
  <si>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</si>
  <si>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</si>
  <si>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</si>
  <si>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</si>
  <si>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</si>
  <si>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</si>
  <si>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</si>
  <si>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</si>
  <si>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</si>
  <si>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</si>
  <si>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</si>
  <si>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</si>
  <si>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</si>
  <si>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</si>
  <si>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</si>
  <si>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</si>
  <si>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</si>
  <si>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</si>
  <si>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</si>
  <si>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</si>
  <si>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</si>
  <si>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</si>
  <si>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</si>
  <si>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</si>
  <si>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</si>
  <si>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</si>
  <si>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</si>
  <si>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</si>
  <si>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</si>
  <si>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</si>
  <si>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</si>
  <si>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</si>
  <si>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</si>
  <si>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</si>
  <si>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</si>
  <si>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"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</si>
  <si>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</si>
  <si>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</si>
  <si>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</si>
  <si>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</si>
  <si>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</si>
  <si>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</si>
  <si>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</si>
  <si>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</si>
  <si>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</si>
  <si>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</si>
  <si>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</si>
  <si>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</si>
  <si>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</si>
  <si>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</si>
  <si>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</si>
  <si>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</si>
  <si>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</si>
  <si>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</si>
  <si>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</si>
  <si>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</si>
  <si>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</si>
  <si>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</si>
  <si>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</si>
  <si>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</si>
  <si>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</si>
  <si>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</si>
  <si>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</si>
  <si>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</si>
  <si>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</si>
  <si>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</si>
  <si>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</si>
  <si>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</si>
  <si>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</si>
  <si>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</si>
  <si>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</si>
  <si>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</si>
  <si>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</si>
  <si>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</si>
  <si>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</si>
  <si>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</si>
  <si>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</si>
  <si>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</si>
  <si>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</si>
  <si>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</si>
  <si>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</si>
  <si>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</si>
  <si>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</si>
  <si>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</si>
  <si>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</si>
  <si>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</si>
  <si>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</si>
  <si>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</si>
  <si>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</si>
  <si>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</si>
  <si>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</si>
  <si>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</si>
  <si>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</si>
  <si>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</si>
  <si>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</si>
  <si>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</si>
  <si>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</si>
  <si>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</si>
  <si>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</si>
  <si>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</si>
  <si>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</si>
  <si>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</si>
  <si>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</si>
  <si>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</si>
  <si>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</si>
  <si>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</si>
  <si>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</si>
  <si>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</si>
  <si>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</si>
  <si>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</si>
  <si>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</si>
  <si>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</si>
  <si>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Расходы, направленные на модернизацию коммунальной инфраструктуры (Ремонт оголовков канализационных колодцев по ул. Красноармейская между ул. 50 лет Октября и ул. Калинина)</t>
  </si>
  <si>
    <t>03 2 01 S7411</t>
  </si>
  <si>
    <t>03 2 01 S7412</t>
  </si>
  <si>
    <t>03 2 01 S7413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</si>
  <si>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</si>
  <si>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</si>
  <si>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</si>
  <si>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</si>
  <si>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</si>
  <si>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</si>
  <si>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</si>
  <si>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</si>
  <si>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</si>
  <si>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</si>
  <si>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</si>
  <si>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</si>
  <si>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</si>
  <si>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</si>
  <si>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</si>
  <si>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</si>
  <si>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</si>
  <si>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</si>
  <si>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</si>
  <si>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</si>
  <si>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</si>
  <si>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</si>
  <si>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</si>
  <si>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</si>
  <si>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</si>
  <si>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</si>
  <si>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</si>
  <si>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</si>
  <si>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</si>
  <si>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</si>
  <si>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</si>
  <si>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</si>
  <si>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</si>
  <si>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</si>
  <si>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</si>
  <si>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</si>
  <si>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</si>
  <si>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</si>
  <si>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</si>
  <si>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</si>
  <si>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</si>
  <si>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</si>
  <si>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</si>
  <si>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</si>
  <si>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</si>
  <si>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</si>
  <si>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9Д110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</si>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</sst>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\ _₽_-;\-* #,##0.0\ _₽_-;_-* &quot;-&quot;?\ _₽_-;_-@_-"/>
    <numFmt numFmtId="167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90">
    <xf numFmtId="0" fontId="0" fillId="0" borderId="0" xfId="0"/>
    <xf numFmtId="16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164" fontId="5" fillId="0" borderId="0" xfId="0" applyNumberFormat="1" applyFont="1" applyFill="1" applyAlignment="1">
      <alignment horizontal="left" vertical="top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/>
    </xf>
    <xf numFmtId="1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vertical="top" wrapText="1"/>
    </xf>
    <xf numFmtId="49" fontId="5" fillId="0" borderId="0" xfId="1" applyNumberFormat="1" applyFont="1" applyFill="1" applyAlignment="1">
      <alignment horizontal="center" vertical="top"/>
    </xf>
    <xf numFmtId="164" fontId="5" fillId="0" borderId="0" xfId="1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horizontal="left" vertical="top" wrapText="1"/>
    </xf>
    <xf numFmtId="164" fontId="5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vertical="top" wrapText="1"/>
    </xf>
    <xf numFmtId="49" fontId="5" fillId="0" borderId="0" xfId="4" applyNumberFormat="1" applyFont="1" applyFill="1" applyAlignment="1">
      <alignment horizontal="center" vertical="top"/>
    </xf>
    <xf numFmtId="0" fontId="5" fillId="0" borderId="0" xfId="4" applyFont="1" applyFill="1" applyAlignment="1">
      <alignment horizontal="center" vertical="top"/>
    </xf>
    <xf numFmtId="1" fontId="5" fillId="0" borderId="0" xfId="5" applyNumberFormat="1" applyFont="1" applyFill="1" applyAlignment="1">
      <alignment horizontal="left" vertical="top" wrapText="1"/>
    </xf>
    <xf numFmtId="49" fontId="5" fillId="0" borderId="0" xfId="5" applyNumberFormat="1" applyFont="1" applyFill="1" applyAlignment="1">
      <alignment horizontal="center" vertical="top"/>
    </xf>
    <xf numFmtId="0" fontId="5" fillId="0" borderId="0" xfId="2" applyFont="1" applyFill="1" applyAlignment="1">
      <alignment horizontal="center" vertical="top"/>
    </xf>
    <xf numFmtId="0" fontId="5" fillId="0" borderId="0" xfId="5" applyFont="1" applyFill="1" applyAlignment="1">
      <alignment horizontal="left" vertical="top" wrapText="1"/>
    </xf>
    <xf numFmtId="1" fontId="5" fillId="0" borderId="0" xfId="4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center" vertical="top"/>
    </xf>
    <xf numFmtId="0" fontId="5" fillId="0" borderId="0" xfId="1" applyFont="1" applyFill="1" applyAlignment="1">
      <alignment wrapText="1"/>
    </xf>
    <xf numFmtId="164" fontId="7" fillId="0" borderId="0" xfId="1" applyNumberFormat="1" applyFont="1" applyFill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1" fontId="5" fillId="0" borderId="0" xfId="1" applyNumberFormat="1" applyFont="1" applyFill="1" applyAlignment="1">
      <alignment horizontal="left" wrapText="1"/>
    </xf>
    <xf numFmtId="1" fontId="7" fillId="0" borderId="0" xfId="4" applyNumberFormat="1" applyFont="1" applyFill="1" applyAlignment="1">
      <alignment vertical="top" wrapText="1"/>
    </xf>
    <xf numFmtId="49" fontId="7" fillId="0" borderId="0" xfId="4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1" fontId="5" fillId="0" borderId="0" xfId="1" applyNumberFormat="1" applyFont="1" applyFill="1" applyAlignment="1">
      <alignment wrapText="1"/>
    </xf>
    <xf numFmtId="1" fontId="5" fillId="0" borderId="0" xfId="4" applyNumberFormat="1" applyFont="1" applyFill="1" applyAlignment="1">
      <alignment vertical="top" wrapText="1"/>
    </xf>
    <xf numFmtId="1" fontId="5" fillId="0" borderId="0" xfId="4" applyNumberFormat="1" applyFont="1" applyFill="1" applyAlignment="1">
      <alignment wrapText="1"/>
    </xf>
    <xf numFmtId="164" fontId="5" fillId="0" borderId="0" xfId="3" applyNumberFormat="1" applyFont="1" applyFill="1" applyAlignment="1">
      <alignment horizontal="center" vertical="top"/>
    </xf>
    <xf numFmtId="0" fontId="5" fillId="0" borderId="0" xfId="4" applyFont="1" applyFill="1" applyAlignment="1">
      <alignment wrapText="1"/>
    </xf>
    <xf numFmtId="0" fontId="5" fillId="0" borderId="0" xfId="4" applyFont="1" applyFill="1" applyAlignment="1">
      <alignment horizontal="left" wrapText="1"/>
    </xf>
    <xf numFmtId="1" fontId="5" fillId="0" borderId="0" xfId="4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165" fontId="5" fillId="0" borderId="0" xfId="0" applyNumberFormat="1" applyFont="1" applyFill="1" applyAlignment="1">
      <alignment horizontal="center" vertical="top"/>
    </xf>
    <xf numFmtId="0" fontId="5" fillId="0" borderId="0" xfId="3" applyFont="1" applyFill="1" applyAlignment="1">
      <alignment horizontal="left" wrapText="1"/>
    </xf>
    <xf numFmtId="0" fontId="7" fillId="0" borderId="0" xfId="4" applyFont="1" applyFill="1" applyAlignment="1">
      <alignment horizontal="center" vertical="top"/>
    </xf>
    <xf numFmtId="0" fontId="5" fillId="0" borderId="0" xfId="4" applyFont="1" applyFill="1" applyAlignment="1">
      <alignment horizontal="left" vertical="top" wrapText="1"/>
    </xf>
    <xf numFmtId="0" fontId="5" fillId="0" borderId="0" xfId="4" applyFont="1" applyFill="1" applyAlignment="1">
      <alignment vertical="top" wrapText="1"/>
    </xf>
    <xf numFmtId="0" fontId="5" fillId="0" borderId="0" xfId="2" applyFont="1" applyFill="1" applyAlignment="1">
      <alignment vertical="top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top"/>
    </xf>
    <xf numFmtId="1" fontId="5" fillId="0" borderId="0" xfId="6" applyNumberFormat="1" applyFont="1" applyFill="1" applyAlignment="1">
      <alignment horizontal="left" vertical="top" wrapText="1"/>
    </xf>
    <xf numFmtId="0" fontId="5" fillId="0" borderId="0" xfId="6" applyFont="1" applyFill="1" applyAlignment="1">
      <alignment horizontal="center" vertical="top"/>
    </xf>
    <xf numFmtId="49" fontId="5" fillId="0" borderId="0" xfId="6" applyNumberFormat="1" applyFont="1" applyFill="1" applyAlignment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0" fontId="5" fillId="0" borderId="0" xfId="1" applyNumberFormat="1" applyFont="1" applyFill="1" applyBorder="1" applyAlignment="1" applyProtection="1">
      <alignment horizontal="left" vertical="top" wrapText="1"/>
    </xf>
    <xf numFmtId="164" fontId="6" fillId="0" borderId="0" xfId="0" applyNumberFormat="1" applyFont="1" applyFill="1" applyAlignment="1">
      <alignment horizontal="left" vertical="top"/>
    </xf>
    <xf numFmtId="0" fontId="9" fillId="0" borderId="0" xfId="4" applyFont="1" applyFill="1" applyAlignment="1">
      <alignment horizontal="center" vertical="top"/>
    </xf>
    <xf numFmtId="164" fontId="5" fillId="0" borderId="0" xfId="4" applyNumberFormat="1" applyFont="1" applyFill="1" applyAlignment="1">
      <alignment horizontal="center" vertical="top"/>
    </xf>
    <xf numFmtId="166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center" wrapText="1"/>
    </xf>
    <xf numFmtId="49" fontId="5" fillId="0" borderId="0" xfId="1" applyNumberFormat="1" applyFont="1" applyFill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1" fontId="5" fillId="0" borderId="0" xfId="0" applyNumberFormat="1" applyFont="1" applyFill="1" applyAlignment="1">
      <alignment horizontal="left" vertical="top" wrapText="1"/>
    </xf>
    <xf numFmtId="1" fontId="7" fillId="0" borderId="0" xfId="1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center" vertical="top"/>
    </xf>
    <xf numFmtId="166" fontId="7" fillId="0" borderId="0" xfId="0" applyNumberFormat="1" applyFont="1" applyFill="1" applyAlignment="1">
      <alignment horizontal="center" vertical="top"/>
    </xf>
    <xf numFmtId="167" fontId="5" fillId="0" borderId="0" xfId="0" applyNumberFormat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1" fontId="7" fillId="0" borderId="0" xfId="1" applyNumberFormat="1" applyFont="1" applyFill="1" applyAlignment="1">
      <alignment vertical="top" wrapText="1"/>
    </xf>
    <xf numFmtId="49" fontId="5" fillId="0" borderId="0" xfId="1" applyNumberFormat="1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7" fillId="0" borderId="0" xfId="4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left" vertical="top" wrapText="1"/>
    </xf>
    <xf numFmtId="1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9FBA213-294D-4C03-86BA-B467C73F83E9}" diskRevisions="1" revisionId="431" version="7">
  <header guid="{549CDE0B-1088-49CF-9DC8-8B83BEAB429E}" dateTime="2025-02-28T13:02:10" maxSheetId="2" userName="Захаревич Елена" r:id="rId1">
    <sheetIdMap count="1">
      <sheetId val="1"/>
    </sheetIdMap>
  </header>
  <header guid="{4B6787EC-513D-4417-B345-A0D2F2CFB732}" dateTime="2025-02-28T13:58:51" maxSheetId="2" userName="Хода Светлана Ивановна" r:id="rId2" minRId="1" maxRId="17">
    <sheetIdMap count="1">
      <sheetId val="1"/>
    </sheetIdMap>
  </header>
  <header guid="{3EF67871-94D1-4937-9064-BB54EC158030}" dateTime="2025-02-28T14:01:31" maxSheetId="2" userName="Хода Светлана Ивановна" r:id="rId3" minRId="18" maxRId="21">
    <sheetIdMap count="1">
      <sheetId val="1"/>
    </sheetIdMap>
  </header>
  <header guid="{818F200B-EA7A-4D38-B382-68ADEE4E58C2}" dateTime="2025-02-28T14:09:30" maxSheetId="2" userName="Хода Светлана Ивановна" r:id="rId4" minRId="22" maxRId="55">
    <sheetIdMap count="1">
      <sheetId val="1"/>
    </sheetIdMap>
  </header>
  <header guid="{FF997479-22CF-43C5-B1F4-D492E477ED0A}" dateTime="2025-02-28T14:11:17" maxSheetId="2" userName="Хода Светлана Ивановна" r:id="rId5" minRId="58" maxRId="66">
    <sheetIdMap count="1">
      <sheetId val="1"/>
    </sheetIdMap>
  </header>
  <header guid="{1224AA5C-32AA-44A9-B45A-7C1913AA2A9B}" dateTime="2025-02-28T14:11:34" maxSheetId="2" userName="Захаревич Елена" r:id="rId6" minRId="67">
    <sheetIdMap count="1">
      <sheetId val="1"/>
    </sheetIdMap>
  </header>
  <header guid="{6CE76125-1A81-4580-8AE3-9AE5DFD30EDC}" dateTime="2025-02-28T14:13:12" maxSheetId="2" userName="Захаревич Елена" r:id="rId7" minRId="71">
    <sheetIdMap count="1">
      <sheetId val="1"/>
    </sheetIdMap>
  </header>
  <header guid="{40AFD8F0-BBDA-4D78-B948-2E3556E5E477}" dateTime="2025-02-28T14:13:39" maxSheetId="2" userName="Захаревич Елена" r:id="rId8" minRId="72">
    <sheetIdMap count="1">
      <sheetId val="1"/>
    </sheetIdMap>
  </header>
  <header guid="{792A3650-2611-40A6-AA62-0E55B6C0A141}" dateTime="2025-02-28T14:14:36" maxSheetId="2" userName="Захаревич Елена" r:id="rId9" minRId="73">
    <sheetIdMap count="1">
      <sheetId val="1"/>
    </sheetIdMap>
  </header>
  <header guid="{9E28E2CC-6FC2-4EF1-8501-CBA59C4C93FF}" dateTime="2025-02-28T14:15:09" maxSheetId="2" userName="Захаревич Елена" r:id="rId10" minRId="74">
    <sheetIdMap count="1">
      <sheetId val="1"/>
    </sheetIdMap>
  </header>
  <header guid="{90B8AF73-F0E8-49D6-9BF8-7D781BBC02FE}" dateTime="2025-02-28T14:16:48" maxSheetId="2" userName="Захаревич Елена" r:id="rId11" minRId="75">
    <sheetIdMap count="1">
      <sheetId val="1"/>
    </sheetIdMap>
  </header>
  <header guid="{7BBB9F59-6A4C-4B5E-B999-3179052847A0}" dateTime="2025-02-28T14:25:35" maxSheetId="2" userName="Захаревич Елена" r:id="rId12" minRId="76" maxRId="80">
    <sheetIdMap count="1">
      <sheetId val="1"/>
    </sheetIdMap>
  </header>
  <header guid="{6BE4FCE0-C9B4-4F12-B0A2-4488ADB9FEDA}" dateTime="2025-02-28T14:27:06" maxSheetId="2" userName="Захаревич Елена" r:id="rId13" minRId="81">
    <sheetIdMap count="1">
      <sheetId val="1"/>
    </sheetIdMap>
  </header>
  <header guid="{052EDE58-703A-407C-AF02-2C7D1019DB20}" dateTime="2025-02-28T14:28:10" maxSheetId="2" userName="Хода Светлана Ивановна" r:id="rId14" minRId="82" maxRId="137">
    <sheetIdMap count="1">
      <sheetId val="1"/>
    </sheetIdMap>
  </header>
  <header guid="{419BA595-4B05-42BC-8162-17F3AA36C606}" dateTime="2025-02-28T14:29:43" maxSheetId="2" userName="Захаревич Елена" r:id="rId15" minRId="138">
    <sheetIdMap count="1">
      <sheetId val="1"/>
    </sheetIdMap>
  </header>
  <header guid="{FDFDDABF-F161-47CF-B5E6-9A0FC4EA6A34}" dateTime="2025-02-28T14:30:21" maxSheetId="2" userName="Хода Светлана Ивановна" r:id="rId16" minRId="139" maxRId="143">
    <sheetIdMap count="1">
      <sheetId val="1"/>
    </sheetIdMap>
  </header>
  <header guid="{C9D1E08E-0412-4113-8D8E-EAD3C46926A4}" dateTime="2025-02-28T14:30:38" maxSheetId="2" userName="Захаревич Елена" r:id="rId17" minRId="144">
    <sheetIdMap count="1">
      <sheetId val="1"/>
    </sheetIdMap>
  </header>
  <header guid="{2E88754D-4D74-4971-9F76-407269AAFB44}" dateTime="2025-02-28T14:31:11" maxSheetId="2" userName="Захаревич Елена" r:id="rId18" minRId="145">
    <sheetIdMap count="1">
      <sheetId val="1"/>
    </sheetIdMap>
  </header>
  <header guid="{C082D78E-5204-49B7-8D80-7CFE2DFC566A}" dateTime="2025-02-28T14:31:40" maxSheetId="2" userName="Захаревич Елена" r:id="rId19" minRId="146">
    <sheetIdMap count="1">
      <sheetId val="1"/>
    </sheetIdMap>
  </header>
  <header guid="{D507AB68-87D5-4607-A468-6980678D55B8}" dateTime="2025-02-28T14:32:04" maxSheetId="2" userName="Захаревич Елена" r:id="rId20" minRId="147">
    <sheetIdMap count="1">
      <sheetId val="1"/>
    </sheetIdMap>
  </header>
  <header guid="{C9A8E5AB-FCE9-4FA6-AD88-05E6072E25AD}" dateTime="2025-02-28T14:32:46" maxSheetId="2" userName="Захаревич Елена" r:id="rId21" minRId="148">
    <sheetIdMap count="1">
      <sheetId val="1"/>
    </sheetIdMap>
  </header>
  <header guid="{0D62EB66-2FF9-40C4-9C58-25D5DB8149ED}" dateTime="2025-02-28T14:33:14" maxSheetId="2" userName="Захаревич Елена" r:id="rId22" minRId="149">
    <sheetIdMap count="1">
      <sheetId val="1"/>
    </sheetIdMap>
  </header>
  <header guid="{6DBC9EDE-A996-4E82-BED0-26201C4F5EBE}" dateTime="2025-02-28T14:35:25" maxSheetId="2" userName="Захаревич Елена" r:id="rId23" minRId="150" maxRId="151">
    <sheetIdMap count="1">
      <sheetId val="1"/>
    </sheetIdMap>
  </header>
  <header guid="{6E4E4793-1805-4A35-A457-459ED829A621}" dateTime="2025-02-28T14:36:19" maxSheetId="2" userName="Хода Светлана Ивановна" r:id="rId24" minRId="152" maxRId="159">
    <sheetIdMap count="1">
      <sheetId val="1"/>
    </sheetIdMap>
  </header>
  <header guid="{478F9CA3-EE4E-4765-9400-16BFA20AAAFF}" dateTime="2025-02-28T14:37:04" maxSheetId="2" userName="Захаревич Елена" r:id="rId25" minRId="160">
    <sheetIdMap count="1">
      <sheetId val="1"/>
    </sheetIdMap>
  </header>
  <header guid="{4B2C41F0-4C71-418D-B1A0-F1DC6744EA92}" dateTime="2025-02-28T14:38:42" maxSheetId="2" userName="Захаревич Елена" r:id="rId26" minRId="161" maxRId="164">
    <sheetIdMap count="1">
      <sheetId val="1"/>
    </sheetIdMap>
  </header>
  <header guid="{81F092EB-E97C-4611-BA9F-3B91F39AE3FD}" dateTime="2025-02-28T14:39:03" maxSheetId="2" userName="Захаревич Елена" r:id="rId27" minRId="165" maxRId="166">
    <sheetIdMap count="1">
      <sheetId val="1"/>
    </sheetIdMap>
  </header>
  <header guid="{1A9839B5-1031-4C53-9FF3-F9DA9F67AE2D}" dateTime="2025-02-28T14:40:52" maxSheetId="2" userName="Захаревич Елена" r:id="rId28" minRId="167" maxRId="168">
    <sheetIdMap count="1">
      <sheetId val="1"/>
    </sheetIdMap>
  </header>
  <header guid="{FAE87425-DB3A-4819-804C-6BBC648E11D8}" dateTime="2025-02-28T14:41:41" maxSheetId="2" userName="Хода Светлана Ивановна" r:id="rId29" minRId="169" maxRId="180">
    <sheetIdMap count="1">
      <sheetId val="1"/>
    </sheetIdMap>
  </header>
  <header guid="{287FACA0-406B-4690-90A1-1C6B4E3133B8}" dateTime="2025-02-28T14:43:40" maxSheetId="2" userName="Ярина" r:id="rId30" minRId="181" maxRId="199">
    <sheetIdMap count="1">
      <sheetId val="1"/>
    </sheetIdMap>
  </header>
  <header guid="{01AF2366-212F-4BB2-BB09-2BA8A9391EF4}" dateTime="2025-02-28T14:47:21" maxSheetId="2" userName="Хода Светлана Ивановна" r:id="rId31" minRId="200" maxRId="201">
    <sheetIdMap count="1">
      <sheetId val="1"/>
    </sheetIdMap>
  </header>
  <header guid="{38AB38FC-F31B-4F39-862D-89AC0D5AC318}" dateTime="2025-02-28T14:47:21" maxSheetId="2" userName="Захаревич Елена" r:id="rId32">
    <sheetIdMap count="1">
      <sheetId val="1"/>
    </sheetIdMap>
  </header>
  <header guid="{F1F6E557-1463-4AA4-8B53-2D0B049EE991}" dateTime="2025-02-28T14:47:44" maxSheetId="2" userName="Захаревич Елена" r:id="rId33" minRId="205" maxRId="211">
    <sheetIdMap count="1">
      <sheetId val="1"/>
    </sheetIdMap>
  </header>
  <header guid="{331B7A2F-42E3-4CED-B10E-ACF02A871366}" dateTime="2025-02-28T14:48:55" maxSheetId="2" userName="Захаревич Елена" r:id="rId34" minRId="212" maxRId="217">
    <sheetIdMap count="1">
      <sheetId val="1"/>
    </sheetIdMap>
  </header>
  <header guid="{0CC5B421-5D6C-4D44-A3FE-2FDD0D4DA5D6}" dateTime="2025-02-28T14:57:13" maxSheetId="2" userName="Наталья Геращенко" r:id="rId35" minRId="221" maxRId="354">
    <sheetIdMap count="1">
      <sheetId val="1"/>
    </sheetIdMap>
  </header>
  <header guid="{4F6CC308-4118-4D52-B388-ADB434943D86}" dateTime="2025-02-28T15:10:21" maxSheetId="2" userName="Наталья Геращенко" r:id="rId36" minRId="358" maxRId="371">
    <sheetIdMap count="1">
      <sheetId val="1"/>
    </sheetIdMap>
  </header>
  <header guid="{B0D40EA0-7E8A-47DE-975F-BAF9A879222A}" dateTime="2025-02-28T15:11:50" maxSheetId="2" userName="Наталья Геращенко" r:id="rId37" minRId="375" maxRId="380">
    <sheetIdMap count="1">
      <sheetId val="1"/>
    </sheetIdMap>
  </header>
  <header guid="{937B337D-27CD-42AA-9BDF-EDCFFB8694D9}" dateTime="2025-03-10T08:58:31" maxSheetId="2" userName="Хода Светлана Ивановна" r:id="rId38" minRId="381">
    <sheetIdMap count="1">
      <sheetId val="1"/>
    </sheetIdMap>
  </header>
  <header guid="{28A25BCE-E58F-4F82-A50D-D81C8E6D6C39}" dateTime="2025-03-10T09:06:36" maxSheetId="2" userName="Хода Светлана Ивановна" r:id="rId39" minRId="384" maxRId="387">
    <sheetIdMap count="1">
      <sheetId val="1"/>
    </sheetIdMap>
  </header>
  <header guid="{8B357B9C-3230-4A10-87C9-40ABB07F5712}" dateTime="2025-03-10T09:34:22" maxSheetId="2" userName="Захаревич Елена" r:id="rId40">
    <sheetIdMap count="1">
      <sheetId val="1"/>
    </sheetIdMap>
  </header>
  <header guid="{ACC30862-32DA-4970-BEEF-12D831FE3CF1}" dateTime="2025-03-10T09:52:34" maxSheetId="2" userName="Захаревич Елена" r:id="rId41" minRId="391">
    <sheetIdMap count="1">
      <sheetId val="1"/>
    </sheetIdMap>
  </header>
  <header guid="{A4CD2691-7F83-4247-8740-129786CB952B}" dateTime="2025-03-10T09:55:40" maxSheetId="2" userName="Захаревич Елена" r:id="rId42">
    <sheetIdMap count="1">
      <sheetId val="1"/>
    </sheetIdMap>
  </header>
  <header guid="{8CC2ECC7-F07F-4A6A-8C9F-F9E2BD342E69}" dateTime="2025-03-10T09:55:54" maxSheetId="2" userName="Захаревич Елена" r:id="rId43">
    <sheetIdMap count="1">
      <sheetId val="1"/>
    </sheetIdMap>
  </header>
  <header guid="{831F2471-079C-40F1-80C1-7484E83D8265}" dateTime="2025-03-12T15:32:53" maxSheetId="2" userName="Хода Светлана Ивановна" r:id="rId44">
    <sheetIdMap count="1">
      <sheetId val="1"/>
    </sheetIdMap>
  </header>
  <header guid="{5D0CB831-F870-4F42-835C-E4EC676110F3}" dateTime="2025-03-12T15:44:28" maxSheetId="2" userName="Захаревич Елена" r:id="rId45" minRId="402" maxRId="408">
    <sheetIdMap count="1">
      <sheetId val="1"/>
    </sheetIdMap>
  </header>
  <header guid="{A2CA10B9-243D-49AB-9917-41C11CEF6C63}" dateTime="2025-03-12T15:50:10" maxSheetId="2" userName="Захаревич Елена" r:id="rId46" minRId="411" maxRId="412">
    <sheetIdMap count="1">
      <sheetId val="1"/>
    </sheetIdMap>
  </header>
  <header guid="{9AAA4038-EFB9-4048-86FF-DBF1DB7CA5AF}" dateTime="2025-03-12T15:54:02" maxSheetId="2" userName="Захаревич Елена" r:id="rId47" minRId="413" maxRId="421">
    <sheetIdMap count="1">
      <sheetId val="1"/>
    </sheetIdMap>
  </header>
  <header guid="{F49B73F9-BEE6-472D-8614-4FD4FA177400}" dateTime="2025-03-13T12:37:22" maxSheetId="2" userName="Захаревич Елена" r:id="rId48" minRId="422" maxRId="427">
    <sheetIdMap count="1">
      <sheetId val="1"/>
    </sheetIdMap>
  </header>
  <header guid="{B9FBA213-294D-4C03-86BA-B467C73F83E9}" dateTime="2025-03-13T16:21:15" maxSheetId="2" userName="Хода Светлана Ивановна" r:id="rId4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" sId="1">
    <oc r="G675">
      <f>39896.4+12958.8</f>
    </oc>
    <nc r="G675">
      <f>39896.4+12958.8+5009.8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" sId="1" numFmtId="4">
    <oc r="G652">
      <v>79252.100000000006</v>
    </oc>
    <nc r="G652">
      <f>79252.1+31417.2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" sId="1" numFmtId="4">
    <oc r="G658">
      <v>475.5</v>
    </oc>
    <nc r="G658">
      <f>475.5+188.5</f>
    </nc>
  </rcc>
  <rcc rId="77" sId="1" numFmtId="4">
    <oc r="G642">
      <v>5707</v>
    </oc>
    <nc r="G642">
      <f>5707+216.8+3396.4</f>
    </nc>
  </rcc>
  <rcc rId="78" sId="1">
    <oc r="G644">
      <v>25500</v>
    </oc>
    <nc r="G644">
      <f>25500-23970-216.8</f>
    </nc>
  </rcc>
  <rcc rId="79" sId="1" numFmtId="4">
    <nc r="F650">
      <v>0</v>
    </nc>
  </rcc>
  <rcc rId="80" sId="1" numFmtId="4">
    <nc r="G650">
      <v>0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" sId="1">
    <oc r="G665">
      <f>169540.7+11051.9</f>
    </oc>
    <nc r="G665">
      <f>169540.7+11051.8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 odxf="1" s="1" dxf="1" numFmtId="4">
    <nc r="F452">
      <v>547631.69999999995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ndxf>
  </rcc>
  <rcc rId="83" sId="1" odxf="1" s="1" dxf="1" numFmtId="4">
    <nc r="G452">
      <v>547722.79999999993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ndxf>
  </rcc>
  <rrc rId="84" sId="1" ref="A453:XFD453" action="insertRow">
    <undo index="65535" exp="area" ref3D="1" dr="$A$729:$XFD$731" dn="Z_1CA6CCC9_64EF_4CA9_9C9C_1E572976D134_.wvu.Rows" sId="1"/>
    <undo index="65535" exp="area" ref3D="1" dr="$A$724:$XFD$726" dn="Z_1CA6CCC9_64EF_4CA9_9C9C_1E572976D134_.wvu.Rows" sId="1"/>
    <undo index="65535" exp="area" ref3D="1" dr="$A$703:$XFD$721" dn="Z_1CA6CCC9_64EF_4CA9_9C9C_1E572976D134_.wvu.Rows" sId="1"/>
    <undo index="65535" exp="area" ref3D="1" dr="$A$688:$XFD$701" dn="Z_1CA6CCC9_64EF_4CA9_9C9C_1E572976D134_.wvu.Rows" sId="1"/>
    <undo index="65535" exp="area" ref3D="1" dr="$A$678:$XFD$686" dn="Z_1CA6CCC9_64EF_4CA9_9C9C_1E572976D134_.wvu.Rows" sId="1"/>
    <undo index="65535" exp="area" ref3D="1" dr="$A$646:$XFD$675" dn="Z_1CA6CCC9_64EF_4CA9_9C9C_1E572976D134_.wvu.Rows" sId="1"/>
    <undo index="65535" exp="area" ref3D="1" dr="$A$625:$XFD$644" dn="Z_1CA6CCC9_64EF_4CA9_9C9C_1E572976D134_.wvu.Rows" sId="1"/>
    <undo index="65535" exp="area" ref3D="1" dr="$A$621:$XFD$623" dn="Z_1CA6CCC9_64EF_4CA9_9C9C_1E572976D134_.wvu.Rows" sId="1"/>
    <undo index="65535" exp="area" ref3D="1" dr="$A$597:$XFD$618" dn="Z_1CA6CCC9_64EF_4CA9_9C9C_1E572976D134_.wvu.Rows" sId="1"/>
    <undo index="65535" exp="area" ref3D="1" dr="$A$580:$XFD$595" dn="Z_1CA6CCC9_64EF_4CA9_9C9C_1E572976D134_.wvu.Rows" sId="1"/>
    <undo index="65535" exp="area" ref3D="1" dr="$A$533:$XFD$577" dn="Z_1CA6CCC9_64EF_4CA9_9C9C_1E572976D134_.wvu.Rows" sId="1"/>
    <undo index="65535" exp="area" ref3D="1" dr="$A$515:$XFD$531" dn="Z_1CA6CCC9_64EF_4CA9_9C9C_1E572976D134_.wvu.Rows" sId="1"/>
    <undo index="65535" exp="area" ref3D="1" dr="$A$499:$XFD$513" dn="Z_1CA6CCC9_64EF_4CA9_9C9C_1E572976D134_.wvu.Rows" sId="1"/>
    <undo index="65535" exp="area" ref3D="1" dr="$A$427:$XFD$497" dn="Z_1CA6CCC9_64EF_4CA9_9C9C_1E572976D134_.wvu.Rows" sId="1"/>
  </rrc>
  <rrc rId="85" sId="1" ref="A453:XFD453" action="insertRow">
    <undo index="65535" exp="area" ref3D="1" dr="$A$730:$XFD$732" dn="Z_1CA6CCC9_64EF_4CA9_9C9C_1E572976D134_.wvu.Rows" sId="1"/>
    <undo index="65535" exp="area" ref3D="1" dr="$A$725:$XFD$727" dn="Z_1CA6CCC9_64EF_4CA9_9C9C_1E572976D134_.wvu.Rows" sId="1"/>
    <undo index="65535" exp="area" ref3D="1" dr="$A$704:$XFD$722" dn="Z_1CA6CCC9_64EF_4CA9_9C9C_1E572976D134_.wvu.Rows" sId="1"/>
    <undo index="65535" exp="area" ref3D="1" dr="$A$689:$XFD$702" dn="Z_1CA6CCC9_64EF_4CA9_9C9C_1E572976D134_.wvu.Rows" sId="1"/>
    <undo index="65535" exp="area" ref3D="1" dr="$A$679:$XFD$687" dn="Z_1CA6CCC9_64EF_4CA9_9C9C_1E572976D134_.wvu.Rows" sId="1"/>
    <undo index="65535" exp="area" ref3D="1" dr="$A$647:$XFD$676" dn="Z_1CA6CCC9_64EF_4CA9_9C9C_1E572976D134_.wvu.Rows" sId="1"/>
    <undo index="65535" exp="area" ref3D="1" dr="$A$626:$XFD$645" dn="Z_1CA6CCC9_64EF_4CA9_9C9C_1E572976D134_.wvu.Rows" sId="1"/>
    <undo index="65535" exp="area" ref3D="1" dr="$A$622:$XFD$624" dn="Z_1CA6CCC9_64EF_4CA9_9C9C_1E572976D134_.wvu.Rows" sId="1"/>
    <undo index="65535" exp="area" ref3D="1" dr="$A$598:$XFD$619" dn="Z_1CA6CCC9_64EF_4CA9_9C9C_1E572976D134_.wvu.Rows" sId="1"/>
    <undo index="65535" exp="area" ref3D="1" dr="$A$581:$XFD$596" dn="Z_1CA6CCC9_64EF_4CA9_9C9C_1E572976D134_.wvu.Rows" sId="1"/>
    <undo index="65535" exp="area" ref3D="1" dr="$A$534:$XFD$578" dn="Z_1CA6CCC9_64EF_4CA9_9C9C_1E572976D134_.wvu.Rows" sId="1"/>
    <undo index="65535" exp="area" ref3D="1" dr="$A$516:$XFD$532" dn="Z_1CA6CCC9_64EF_4CA9_9C9C_1E572976D134_.wvu.Rows" sId="1"/>
    <undo index="65535" exp="area" ref3D="1" dr="$A$500:$XFD$514" dn="Z_1CA6CCC9_64EF_4CA9_9C9C_1E572976D134_.wvu.Rows" sId="1"/>
    <undo index="65535" exp="area" ref3D="1" dr="$A$427:$XFD$498" dn="Z_1CA6CCC9_64EF_4CA9_9C9C_1E572976D134_.wvu.Rows" sId="1"/>
  </rrc>
  <rfmt sheetId="1" sqref="A453:F454">
    <dxf>
      <fill>
        <patternFill patternType="none">
          <bgColor auto="1"/>
        </patternFill>
      </fill>
    </dxf>
  </rfmt>
  <rcc rId="86" sId="1" xfDxf="1" dxf="1">
    <nc r="A453" t="inlineStr">
      <is>
        <t>Проведение мероприятий по противопожарной и антитеррористической защищенности муниципальных образовательных организаций</t>
      </is>
    </nc>
    <ndxf>
      <font>
        <sz val="12"/>
        <color rgb="FFFF0000"/>
        <name val="Times New Roman"/>
        <family val="1"/>
        <scheme val="none"/>
      </font>
      <alignment horizontal="left" vertical="top" wrapText="1"/>
    </ndxf>
  </rcc>
  <rfmt sheetId="1" sqref="A453" start="0" length="2147483647">
    <dxf>
      <font>
        <color auto="1"/>
      </font>
    </dxf>
  </rfmt>
  <rcc rId="87" sId="1" odxf="1" dxf="1">
    <nc r="B453" t="inlineStr">
      <is>
        <t>0702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88" sId="1" xfDxf="1" s="1" dxf="1">
    <nc r="C453" t="inlineStr">
      <is>
        <t>04 2 01 S8490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fmt sheetId="1" sqref="C453" start="0" length="2147483647">
    <dxf>
      <font>
        <color auto="1"/>
      </font>
    </dxf>
  </rfmt>
  <rcc rId="89" sId="1">
    <nc r="A454" t="inlineStr">
      <is>
        <t>Предоставление субсидий бюджетным, автономным учреждениям и иным некоммерческим организациям</t>
      </is>
    </nc>
  </rcc>
  <rfmt sheetId="1" sqref="A454" start="0" length="2147483647">
    <dxf>
      <font>
        <color auto="1"/>
      </font>
    </dxf>
  </rfmt>
  <rcc rId="90" sId="1" odxf="1" dxf="1">
    <nc r="B454" t="inlineStr">
      <is>
        <t>0702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1" sId="1" xfDxf="1" s="1" dxf="1">
    <nc r="C454" t="inlineStr">
      <is>
        <t>04 2 01 S8490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fmt sheetId="1" sqref="C454" start="0" length="2147483647">
    <dxf>
      <font>
        <color auto="1"/>
      </font>
    </dxf>
  </rfmt>
  <rcc rId="92" sId="1" odxf="1" dxf="1">
    <nc r="D454" t="inlineStr">
      <is>
        <t>600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3" sId="1" odxf="1" s="1" dxf="1" numFmtId="4">
    <nc r="E45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4" sId="1" odxf="1" numFmtId="4">
    <nc r="F454">
      <v>19456.300000000003</v>
    </nc>
    <odxf/>
  </rcc>
  <rcc rId="95" sId="1" numFmtId="4">
    <nc r="G454">
      <v>8907.6</v>
    </nc>
  </rcc>
  <rcc rId="96" sId="1">
    <nc r="E453">
      <f>E454</f>
    </nc>
  </rcc>
  <rcc rId="97" sId="1" odxf="1" s="1" dxf="1">
    <nc r="F453">
      <f>F454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98" sId="1" odxf="1" s="1" dxf="1">
    <nc r="G453">
      <f>G454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fmt sheetId="1" sqref="E453:G453" start="0" length="2147483647">
    <dxf>
      <font>
        <color auto="1"/>
      </font>
    </dxf>
  </rfmt>
  <rrc rId="99" sId="1" ref="A455:XFD455" action="insertRow">
    <undo index="65535" exp="area" ref3D="1" dr="$A$731:$XFD$733" dn="Z_1CA6CCC9_64EF_4CA9_9C9C_1E572976D134_.wvu.Rows" sId="1"/>
    <undo index="65535" exp="area" ref3D="1" dr="$A$726:$XFD$728" dn="Z_1CA6CCC9_64EF_4CA9_9C9C_1E572976D134_.wvu.Rows" sId="1"/>
    <undo index="65535" exp="area" ref3D="1" dr="$A$705:$XFD$723" dn="Z_1CA6CCC9_64EF_4CA9_9C9C_1E572976D134_.wvu.Rows" sId="1"/>
    <undo index="65535" exp="area" ref3D="1" dr="$A$690:$XFD$703" dn="Z_1CA6CCC9_64EF_4CA9_9C9C_1E572976D134_.wvu.Rows" sId="1"/>
    <undo index="65535" exp="area" ref3D="1" dr="$A$680:$XFD$688" dn="Z_1CA6CCC9_64EF_4CA9_9C9C_1E572976D134_.wvu.Rows" sId="1"/>
    <undo index="65535" exp="area" ref3D="1" dr="$A$648:$XFD$677" dn="Z_1CA6CCC9_64EF_4CA9_9C9C_1E572976D134_.wvu.Rows" sId="1"/>
    <undo index="65535" exp="area" ref3D="1" dr="$A$627:$XFD$646" dn="Z_1CA6CCC9_64EF_4CA9_9C9C_1E572976D134_.wvu.Rows" sId="1"/>
    <undo index="65535" exp="area" ref3D="1" dr="$A$623:$XFD$625" dn="Z_1CA6CCC9_64EF_4CA9_9C9C_1E572976D134_.wvu.Rows" sId="1"/>
    <undo index="65535" exp="area" ref3D="1" dr="$A$599:$XFD$620" dn="Z_1CA6CCC9_64EF_4CA9_9C9C_1E572976D134_.wvu.Rows" sId="1"/>
    <undo index="65535" exp="area" ref3D="1" dr="$A$582:$XFD$597" dn="Z_1CA6CCC9_64EF_4CA9_9C9C_1E572976D134_.wvu.Rows" sId="1"/>
    <undo index="65535" exp="area" ref3D="1" dr="$A$535:$XFD$579" dn="Z_1CA6CCC9_64EF_4CA9_9C9C_1E572976D134_.wvu.Rows" sId="1"/>
    <undo index="65535" exp="area" ref3D="1" dr="$A$517:$XFD$533" dn="Z_1CA6CCC9_64EF_4CA9_9C9C_1E572976D134_.wvu.Rows" sId="1"/>
    <undo index="65535" exp="area" ref3D="1" dr="$A$501:$XFD$515" dn="Z_1CA6CCC9_64EF_4CA9_9C9C_1E572976D134_.wvu.Rows" sId="1"/>
    <undo index="65535" exp="area" ref3D="1" dr="$A$427:$XFD$499" dn="Z_1CA6CCC9_64EF_4CA9_9C9C_1E572976D134_.wvu.Rows" sId="1"/>
  </rrc>
  <rrc rId="100" sId="1" ref="A455:XFD455" action="insertRow">
    <undo index="65535" exp="area" ref3D="1" dr="$A$732:$XFD$734" dn="Z_1CA6CCC9_64EF_4CA9_9C9C_1E572976D134_.wvu.Rows" sId="1"/>
    <undo index="65535" exp="area" ref3D="1" dr="$A$727:$XFD$729" dn="Z_1CA6CCC9_64EF_4CA9_9C9C_1E572976D134_.wvu.Rows" sId="1"/>
    <undo index="65535" exp="area" ref3D="1" dr="$A$706:$XFD$724" dn="Z_1CA6CCC9_64EF_4CA9_9C9C_1E572976D134_.wvu.Rows" sId="1"/>
    <undo index="65535" exp="area" ref3D="1" dr="$A$691:$XFD$704" dn="Z_1CA6CCC9_64EF_4CA9_9C9C_1E572976D134_.wvu.Rows" sId="1"/>
    <undo index="65535" exp="area" ref3D="1" dr="$A$681:$XFD$689" dn="Z_1CA6CCC9_64EF_4CA9_9C9C_1E572976D134_.wvu.Rows" sId="1"/>
    <undo index="65535" exp="area" ref3D="1" dr="$A$649:$XFD$678" dn="Z_1CA6CCC9_64EF_4CA9_9C9C_1E572976D134_.wvu.Rows" sId="1"/>
    <undo index="65535" exp="area" ref3D="1" dr="$A$628:$XFD$647" dn="Z_1CA6CCC9_64EF_4CA9_9C9C_1E572976D134_.wvu.Rows" sId="1"/>
    <undo index="65535" exp="area" ref3D="1" dr="$A$624:$XFD$626" dn="Z_1CA6CCC9_64EF_4CA9_9C9C_1E572976D134_.wvu.Rows" sId="1"/>
    <undo index="65535" exp="area" ref3D="1" dr="$A$600:$XFD$621" dn="Z_1CA6CCC9_64EF_4CA9_9C9C_1E572976D134_.wvu.Rows" sId="1"/>
    <undo index="65535" exp="area" ref3D="1" dr="$A$583:$XFD$598" dn="Z_1CA6CCC9_64EF_4CA9_9C9C_1E572976D134_.wvu.Rows" sId="1"/>
    <undo index="65535" exp="area" ref3D="1" dr="$A$536:$XFD$580" dn="Z_1CA6CCC9_64EF_4CA9_9C9C_1E572976D134_.wvu.Rows" sId="1"/>
    <undo index="65535" exp="area" ref3D="1" dr="$A$518:$XFD$534" dn="Z_1CA6CCC9_64EF_4CA9_9C9C_1E572976D134_.wvu.Rows" sId="1"/>
    <undo index="65535" exp="area" ref3D="1" dr="$A$502:$XFD$516" dn="Z_1CA6CCC9_64EF_4CA9_9C9C_1E572976D134_.wvu.Rows" sId="1"/>
    <undo index="65535" exp="area" ref3D="1" dr="$A$427:$XFD$500" dn="Z_1CA6CCC9_64EF_4CA9_9C9C_1E572976D134_.wvu.Rows" sId="1"/>
  </rrc>
  <rcc rId="101" sId="1">
    <nc r="A455" t="inlineStr">
      <is>
        <t xml:space="preserve">Организация и проведение мероприятий по благоустройству территорий общеобразовательных организаций </t>
      </is>
    </nc>
  </rcc>
  <rcc rId="102" sId="1">
    <nc r="A456" t="inlineStr">
      <is>
        <t>Предоставление субсидий бюджетным, автономным учреждениям и иным некоммерческим организациям</t>
      </is>
    </nc>
  </rcc>
  <rcc rId="103" sId="1">
    <nc r="B455" t="inlineStr">
      <is>
        <t>0702</t>
      </is>
    </nc>
  </rcc>
  <rcc rId="104" sId="1">
    <nc r="B456" t="inlineStr">
      <is>
        <t>0702</t>
      </is>
    </nc>
  </rcc>
  <rcc rId="105" sId="1" odxf="1">
    <nc r="C455" t="inlineStr">
      <is>
        <t>04 2 01 S8570</t>
      </is>
    </nc>
    <odxf/>
  </rcc>
  <rcc rId="106" sId="1" odxf="1">
    <nc r="C456" t="inlineStr">
      <is>
        <t>04 2 01 S8570</t>
      </is>
    </nc>
    <odxf/>
  </rcc>
  <rcc rId="107" sId="1" odxf="1">
    <nc r="D456" t="inlineStr">
      <is>
        <t>600</t>
      </is>
    </nc>
    <odxf/>
  </rcc>
  <rcc rId="108" sId="1" odxf="1" s="1" dxf="1" numFmtId="4">
    <nc r="E456">
      <v>2127.6999999999998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09" sId="1" odxf="1" s="1" dxf="1" numFmtId="4">
    <nc r="F456">
      <v>2127.6999999999998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10" sId="1" odxf="1" s="1" dxf="1" numFmtId="4">
    <nc r="G456">
      <v>4255.2999999999993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11" sId="1">
    <nc r="E455">
      <f>E456</f>
    </nc>
  </rcc>
  <rcc rId="112" sId="1">
    <nc r="F455">
      <f>F456</f>
    </nc>
  </rcc>
  <rcc rId="113" sId="1">
    <nc r="G455">
      <f>G456</f>
    </nc>
  </rcc>
  <rcc rId="114" sId="1" numFmtId="4">
    <nc r="F458">
      <v>0</v>
    </nc>
  </rcc>
  <rcc rId="115" sId="1" numFmtId="4">
    <nc r="G458">
      <v>0</v>
    </nc>
  </rcc>
  <rfmt sheetId="1" sqref="A461:F462">
    <dxf>
      <fill>
        <patternFill patternType="solid">
          <bgColor theme="4" tint="-0.499984740745262"/>
        </patternFill>
      </fill>
    </dxf>
  </rfmt>
  <rcc rId="116" sId="1" odxf="1" numFmtId="4">
    <oc r="F468">
      <v>367550.9</v>
    </oc>
    <nc r="F468">
      <v>365666.60000000003</v>
    </nc>
    <odxf/>
  </rcc>
  <rcc rId="117" sId="1" odxf="1" numFmtId="4">
    <oc r="G468">
      <v>374634.7</v>
    </oc>
    <nc r="G468">
      <v>372138.2</v>
    </nc>
    <odxf/>
  </rcc>
  <rcc rId="118" sId="1" odxf="1" numFmtId="4">
    <oc r="F474">
      <f>435.6+6823.8</f>
    </oc>
    <nc r="F474">
      <v>8382.2000000000007</v>
    </nc>
    <odxf/>
  </rcc>
  <rcc rId="119" sId="1" odxf="1" numFmtId="4">
    <oc r="G474">
      <f>435.6+6823.8</f>
    </oc>
    <nc r="G474">
      <v>8382.2000000000007</v>
    </nc>
    <odxf/>
  </rcc>
  <rcc rId="120" sId="1" numFmtId="4">
    <oc r="F476">
      <v>124445.2</v>
    </oc>
    <nc r="F476">
      <v>0</v>
    </nc>
  </rcc>
  <rcc rId="121" sId="1" numFmtId="4">
    <oc r="G476">
      <v>124445.2</v>
    </oc>
    <nc r="G476">
      <v>0</v>
    </nc>
  </rcc>
  <rfmt sheetId="1" sqref="A475:F476">
    <dxf>
      <fill>
        <patternFill patternType="solid">
          <bgColor theme="4" tint="-0.499984740745262"/>
        </patternFill>
      </fill>
    </dxf>
  </rfmt>
  <rcc rId="122" sId="1" odxf="1" dxf="1" numFmtId="4">
    <nc r="F478">
      <v>190.3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23" sId="1" odxf="1" dxf="1" numFmtId="4">
    <nc r="G478">
      <v>190.3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24" sId="1" odxf="1" numFmtId="4">
    <oc r="F480">
      <v>9623.7999999999993</v>
    </oc>
    <nc r="F480">
      <v>8630.1999999999989</v>
    </nc>
    <odxf/>
  </rcc>
  <rcc rId="125" sId="1" odxf="1" numFmtId="4">
    <oc r="G480">
      <v>9623.7999999999993</v>
    </oc>
    <nc r="G480">
      <v>8630.2000000000007</v>
    </nc>
    <odxf/>
  </rcc>
  <rcc rId="126" sId="1" odxf="1" numFmtId="4">
    <oc r="F484">
      <f>1655345.4+0.1</f>
    </oc>
    <nc r="F484">
      <v>1919825.4</v>
    </nc>
    <odxf/>
  </rcc>
  <rcc rId="127" sId="1" odxf="1" numFmtId="4">
    <oc r="G484">
      <f>1655345.4+0.1</f>
    </oc>
    <nc r="G484">
      <v>2128754.9</v>
    </nc>
    <odxf/>
  </rcc>
  <rcc rId="128" sId="1" odxf="1" numFmtId="4">
    <oc r="F486">
      <v>18932.900000000001</v>
    </oc>
    <nc r="F486">
      <v>24894.600000000002</v>
    </nc>
    <odxf/>
  </rcc>
  <rcc rId="129" sId="1" odxf="1" numFmtId="4">
    <oc r="G486">
      <v>18932.900000000001</v>
    </oc>
    <nc r="G486">
      <v>24894.600000000002</v>
    </nc>
    <odxf/>
  </rcc>
  <rcc rId="130" sId="1" odxf="1" dxf="1" numFmtId="4">
    <nc r="F488">
      <v>2005.8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31" sId="1" odxf="1" dxf="1" numFmtId="4">
    <nc r="G488">
      <v>1962.3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32" sId="1" numFmtId="4">
    <nc r="F490">
      <v>0</v>
    </nc>
  </rcc>
  <rcc rId="133" sId="1" numFmtId="4">
    <nc r="G490">
      <v>0</v>
    </nc>
  </rcc>
  <rcc rId="134" sId="1" numFmtId="4">
    <nc r="F495">
      <v>0</v>
    </nc>
  </rcc>
  <rcc rId="135" sId="1" numFmtId="4">
    <nc r="G495">
      <v>0</v>
    </nc>
  </rcc>
  <rfmt sheetId="1" sqref="F494:G495" start="0" length="2147483647">
    <dxf>
      <font>
        <color auto="1"/>
      </font>
    </dxf>
  </rfmt>
  <rcc rId="136" sId="1" odxf="1" numFmtId="4">
    <oc r="F497">
      <v>624</v>
    </oc>
    <nc r="F497">
      <v>660</v>
    </nc>
    <odxf/>
  </rcc>
  <rcc rId="137" sId="1" odxf="1" numFmtId="4">
    <oc r="G497">
      <v>624</v>
    </oc>
    <nc r="G497">
      <v>660</v>
    </nc>
    <odxf/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" sId="1" numFmtId="4">
    <oc r="F660">
      <v>201</v>
    </oc>
    <nc r="F660">
      <f>201+1004.8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" sId="1" numFmtId="4">
    <oc r="F431">
      <f>7037+2345.7</f>
    </oc>
    <nc r="F431">
      <v>0</v>
    </nc>
  </rcc>
  <rcc rId="140" sId="1" numFmtId="4">
    <oc r="F434">
      <f>44825.4+590677.3</f>
    </oc>
    <nc r="F434">
      <v>0</v>
    </nc>
  </rcc>
  <rcc rId="141" sId="1" numFmtId="4">
    <oc r="G434">
      <f>45808.3+590677.3</f>
    </oc>
    <nc r="G434">
      <v>0</v>
    </nc>
  </rcc>
  <rcc rId="142" sId="1">
    <oc r="F428">
      <f>F429+F432+F440</f>
    </oc>
    <nc r="F428">
      <f>F429+F432+F440+F436</f>
    </nc>
  </rcc>
  <rcc rId="143" sId="1">
    <oc r="G428">
      <f>G429+G432+G440</f>
    </oc>
    <nc r="G428">
      <f>G429+G432+G440+G436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" sId="1" numFmtId="4">
    <oc r="F669">
      <v>169540.7</v>
    </oc>
    <nc r="F669">
      <f>169540.7+9507.9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1" numFmtId="4">
    <oc r="F673">
      <v>4227.3</v>
    </oc>
    <nc r="F673">
      <f>4227.3+157.5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" sId="1" numFmtId="4">
    <oc r="F676">
      <v>152.19999999999999</v>
    </oc>
    <nc r="F676">
      <f>152.2+92.5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A412:XFD412" action="insertRow">
    <undo index="65535" exp="area" ref3D="1" dr="$A$722:$XFD$724" dn="Z_1CA6CCC9_64EF_4CA9_9C9C_1E572976D134_.wvu.Rows" sId="1"/>
    <undo index="65535" exp="area" ref3D="1" dr="$A$717:$XFD$719" dn="Z_1CA6CCC9_64EF_4CA9_9C9C_1E572976D134_.wvu.Rows" sId="1"/>
    <undo index="65535" exp="area" ref3D="1" dr="$A$696:$XFD$714" dn="Z_1CA6CCC9_64EF_4CA9_9C9C_1E572976D134_.wvu.Rows" sId="1"/>
    <undo index="65535" exp="area" ref3D="1" dr="$A$681:$XFD$694" dn="Z_1CA6CCC9_64EF_4CA9_9C9C_1E572976D134_.wvu.Rows" sId="1"/>
    <undo index="65535" exp="area" ref3D="1" dr="$A$671:$XFD$679" dn="Z_1CA6CCC9_64EF_4CA9_9C9C_1E572976D134_.wvu.Rows" sId="1"/>
    <undo index="65535" exp="area" ref3D="1" dr="$A$639:$XFD$668" dn="Z_1CA6CCC9_64EF_4CA9_9C9C_1E572976D134_.wvu.Rows" sId="1"/>
    <undo index="65535" exp="area" ref3D="1" dr="$A$618:$XFD$637" dn="Z_1CA6CCC9_64EF_4CA9_9C9C_1E572976D134_.wvu.Rows" sId="1"/>
    <undo index="65535" exp="area" ref3D="1" dr="$A$614:$XFD$616" dn="Z_1CA6CCC9_64EF_4CA9_9C9C_1E572976D134_.wvu.Rows" sId="1"/>
    <undo index="65535" exp="area" ref3D="1" dr="$A$590:$XFD$611" dn="Z_1CA6CCC9_64EF_4CA9_9C9C_1E572976D134_.wvu.Rows" sId="1"/>
    <undo index="65535" exp="area" ref3D="1" dr="$A$573:$XFD$588" dn="Z_1CA6CCC9_64EF_4CA9_9C9C_1E572976D134_.wvu.Rows" sId="1"/>
    <undo index="65535" exp="area" ref3D="1" dr="$A$526:$XFD$570" dn="Z_1CA6CCC9_64EF_4CA9_9C9C_1E572976D134_.wvu.Rows" sId="1"/>
    <undo index="65535" exp="area" ref3D="1" dr="$A$508:$XFD$524" dn="Z_1CA6CCC9_64EF_4CA9_9C9C_1E572976D134_.wvu.Rows" sId="1"/>
    <undo index="65535" exp="area" ref3D="1" dr="$A$492:$XFD$506" dn="Z_1CA6CCC9_64EF_4CA9_9C9C_1E572976D134_.wvu.Rows" sId="1"/>
    <undo index="65535" exp="area" ref3D="1" dr="$A$425:$XFD$490" dn="Z_1CA6CCC9_64EF_4CA9_9C9C_1E572976D134_.wvu.Rows" sId="1"/>
    <undo index="65535" exp="area" ref3D="1" dr="$A$407:$XFD$423" dn="Z_1CA6CCC9_64EF_4CA9_9C9C_1E572976D134_.wvu.Rows" sId="1"/>
  </rrc>
  <rrc rId="2" sId="1" ref="A412:XFD412" action="insertRow">
    <undo index="65535" exp="area" ref3D="1" dr="$A$723:$XFD$725" dn="Z_1CA6CCC9_64EF_4CA9_9C9C_1E572976D134_.wvu.Rows" sId="1"/>
    <undo index="65535" exp="area" ref3D="1" dr="$A$718:$XFD$720" dn="Z_1CA6CCC9_64EF_4CA9_9C9C_1E572976D134_.wvu.Rows" sId="1"/>
    <undo index="65535" exp="area" ref3D="1" dr="$A$697:$XFD$715" dn="Z_1CA6CCC9_64EF_4CA9_9C9C_1E572976D134_.wvu.Rows" sId="1"/>
    <undo index="65535" exp="area" ref3D="1" dr="$A$682:$XFD$695" dn="Z_1CA6CCC9_64EF_4CA9_9C9C_1E572976D134_.wvu.Rows" sId="1"/>
    <undo index="65535" exp="area" ref3D="1" dr="$A$672:$XFD$680" dn="Z_1CA6CCC9_64EF_4CA9_9C9C_1E572976D134_.wvu.Rows" sId="1"/>
    <undo index="65535" exp="area" ref3D="1" dr="$A$640:$XFD$669" dn="Z_1CA6CCC9_64EF_4CA9_9C9C_1E572976D134_.wvu.Rows" sId="1"/>
    <undo index="65535" exp="area" ref3D="1" dr="$A$619:$XFD$638" dn="Z_1CA6CCC9_64EF_4CA9_9C9C_1E572976D134_.wvu.Rows" sId="1"/>
    <undo index="65535" exp="area" ref3D="1" dr="$A$615:$XFD$617" dn="Z_1CA6CCC9_64EF_4CA9_9C9C_1E572976D134_.wvu.Rows" sId="1"/>
    <undo index="65535" exp="area" ref3D="1" dr="$A$591:$XFD$612" dn="Z_1CA6CCC9_64EF_4CA9_9C9C_1E572976D134_.wvu.Rows" sId="1"/>
    <undo index="65535" exp="area" ref3D="1" dr="$A$574:$XFD$589" dn="Z_1CA6CCC9_64EF_4CA9_9C9C_1E572976D134_.wvu.Rows" sId="1"/>
    <undo index="65535" exp="area" ref3D="1" dr="$A$527:$XFD$571" dn="Z_1CA6CCC9_64EF_4CA9_9C9C_1E572976D134_.wvu.Rows" sId="1"/>
    <undo index="65535" exp="area" ref3D="1" dr="$A$509:$XFD$525" dn="Z_1CA6CCC9_64EF_4CA9_9C9C_1E572976D134_.wvu.Rows" sId="1"/>
    <undo index="65535" exp="area" ref3D="1" dr="$A$493:$XFD$507" dn="Z_1CA6CCC9_64EF_4CA9_9C9C_1E572976D134_.wvu.Rows" sId="1"/>
    <undo index="65535" exp="area" ref3D="1" dr="$A$426:$XFD$491" dn="Z_1CA6CCC9_64EF_4CA9_9C9C_1E572976D134_.wvu.Rows" sId="1"/>
    <undo index="65535" exp="area" ref3D="1" dr="$A$407:$XFD$424" dn="Z_1CA6CCC9_64EF_4CA9_9C9C_1E572976D134_.wvu.Rows" sId="1"/>
  </rrc>
  <rcc rId="3" sId="1">
    <nc r="A412" t="inlineStr">
      <is>
        <t>Проведение мероприятий по противопожарной и антитеррористической защищенности муниципальных образовательных организаций</t>
      </is>
    </nc>
  </rcc>
  <rcc rId="4" sId="1" xfDxf="1" s="1" dxf="1">
    <nc r="B412" t="inlineStr">
      <is>
        <t>0701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5" sId="1">
    <nc r="C412" t="inlineStr">
      <is>
        <t>04 2 01 S8490</t>
      </is>
    </nc>
  </rcc>
  <rcc rId="6" sId="1" xfDxf="1" dxf="1" numFmtId="4">
    <nc r="F412">
      <v>16606.8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 vertical="top"/>
    </ndxf>
  </rcc>
  <rcc rId="7" sId="1" odxf="1" numFmtId="4">
    <nc r="G412">
      <v>18845.8</v>
    </nc>
    <odxf/>
  </rcc>
  <rcc rId="8" sId="1">
    <nc r="A413" t="inlineStr">
      <is>
        <t>Предоставление субсидий бюджетным, автономным учреждениям и иным некоммерческим организациям</t>
      </is>
    </nc>
  </rcc>
  <rcc rId="9" sId="1">
    <nc r="B413" t="inlineStr">
      <is>
        <t>0701</t>
      </is>
    </nc>
  </rcc>
  <rcc rId="10" sId="1">
    <nc r="C413" t="inlineStr">
      <is>
        <t>04 2 01 S8490</t>
      </is>
    </nc>
  </rcc>
  <rcc rId="11" sId="1" xfDxf="1" s="1" dxf="1">
    <nc r="D413" t="inlineStr">
      <is>
        <t>600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12" sId="1" numFmtId="4">
    <nc r="E412">
      <v>0</v>
    </nc>
  </rcc>
  <rcc rId="13" sId="1" numFmtId="4">
    <nc r="E413">
      <v>0</v>
    </nc>
  </rcc>
  <rcc rId="14" sId="1" numFmtId="4">
    <nc r="F413">
      <v>16606.8</v>
    </nc>
  </rcc>
  <rcc rId="15" sId="1" numFmtId="4">
    <nc r="G413">
      <v>18845.8</v>
    </nc>
  </rcc>
  <rcc rId="16" sId="1">
    <oc r="F407">
      <f>F408+F414</f>
    </oc>
    <nc r="F407">
      <f>F408+F414+F412</f>
    </nc>
  </rcc>
  <rcc rId="17" sId="1">
    <oc r="G407">
      <f>G408+G414</f>
    </oc>
    <nc r="G407">
      <f>G408+G414+G412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1">
    <oc r="F679">
      <f>39896.4+12958.8</f>
    </oc>
    <nc r="F679">
      <f>39896.4+12958.8+5009.8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1" numFmtId="4">
    <oc r="F656">
      <v>79252.100000000006</v>
    </oc>
    <nc r="F656">
      <f>79252.1+18841.1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" sId="1" numFmtId="4">
    <oc r="F662">
      <v>475.5</v>
    </oc>
    <nc r="F662">
      <f>475.5+113.1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" sId="1" numFmtId="4">
    <oc r="F648">
      <v>25500</v>
    </oc>
    <nc r="F648">
      <f>25500-195-23970</f>
    </nc>
  </rcc>
  <rcc rId="151" sId="1" numFmtId="4">
    <oc r="F646">
      <v>5707</v>
    </oc>
    <nc r="F646">
      <f>5707+3054.6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3:G443" start="0" length="2147483647">
    <dxf>
      <font>
        <color auto="1"/>
      </font>
    </dxf>
  </rfmt>
  <rfmt sheetId="1" sqref="F445:G445" start="0" length="2147483647">
    <dxf>
      <font>
        <color auto="1"/>
      </font>
    </dxf>
  </rfmt>
  <rrc rId="152" sId="1" ref="A449:XFD449" action="deleteRow">
    <undo index="0" exp="ref" v="1" dr="G449" r="G448" sId="1"/>
    <undo index="0" exp="ref" v="1" dr="F449" r="F448" sId="1"/>
    <undo index="0" exp="ref" v="1" dr="E449" r="E448" sId="1"/>
    <rfmt sheetId="1" xfDxf="1" sqref="A449:XFD44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49" t="inlineStr">
        <is>
          <t xml:space="preserve">Организация и проведение мероприятий по благоустройству территорий общеобразовательных организаций 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4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49" t="inlineStr">
        <is>
          <t>04 2 01 S8570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49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dxf>
    </rfmt>
    <rcc rId="0" sId="1" s="1" dxf="1">
      <nc r="E449">
        <f>E450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49">
        <f>F450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49">
        <f>G450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53" sId="1" ref="A449:XFD449" action="deleteRow">
    <rfmt sheetId="1" xfDxf="1" sqref="A449:XFD44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4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wrapText="1"/>
      </ndxf>
    </rcc>
    <rcc rId="0" sId="1" s="1" dxf="1">
      <nc r="B44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49" t="inlineStr">
        <is>
          <t>04 2 01 S8570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49" t="inlineStr">
        <is>
          <t>600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E449">
        <f>127.7+2000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449">
        <f>127.7+2000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49">
        <f>127.7+2000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49:G449">
    <dxf>
      <fill>
        <patternFill patternType="none">
          <bgColor auto="1"/>
        </patternFill>
      </fill>
    </dxf>
  </rfmt>
  <rfmt sheetId="1" sqref="F449:G449" start="0" length="2147483647">
    <dxf>
      <font>
        <color auto="1"/>
      </font>
    </dxf>
  </rfmt>
  <rcc rId="154" sId="1">
    <oc r="E447">
      <f>E448</f>
    </oc>
    <nc r="E447">
      <f>E448</f>
    </nc>
  </rcc>
  <rcc rId="155" sId="1">
    <oc r="F447">
      <f>F448</f>
    </oc>
    <nc r="F447">
      <f>F448</f>
    </nc>
  </rcc>
  <rcc rId="156" sId="1">
    <oc r="G447">
      <f>G448</f>
    </oc>
    <nc r="G447">
      <f>G448</f>
    </nc>
  </rcc>
  <rfmt sheetId="1" sqref="I449" start="0" length="0">
    <dxf>
      <numFmt numFmtId="164" formatCode="#,##0.0"/>
    </dxf>
  </rfmt>
  <rcc rId="157" sId="1">
    <oc r="F448">
      <f>#REF!+F455+F449</f>
    </oc>
    <nc r="F448">
      <f>F449+F452+F454</f>
    </nc>
  </rcc>
  <rcc rId="158" sId="1">
    <oc r="E448">
      <f>#REF!+E455+E449</f>
    </oc>
    <nc r="E448">
      <f>E449+E453+E455</f>
    </nc>
  </rcc>
  <rcc rId="159" sId="1">
    <oc r="G448">
      <f>#REF!+G455+G449</f>
    </oc>
    <nc r="G448">
      <f>G449+G452+G454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" sId="1">
    <oc r="F644">
      <f>5707+3054.6</f>
    </oc>
    <nc r="F644">
      <f>5707+3054.6+195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" sId="1" numFmtId="4">
    <nc r="F739">
      <v>13623666.300000001</v>
    </nc>
  </rcc>
  <rcc rId="162" sId="1">
    <nc r="F740">
      <f>F735-F739</f>
    </nc>
  </rcc>
  <rcc rId="163" sId="1" numFmtId="4">
    <nc r="G739">
      <v>12736436.500000002</v>
    </nc>
  </rcc>
  <rcc rId="164" sId="1" odxf="1" dxf="1">
    <nc r="G740">
      <f>G735-G739</f>
    </nc>
    <odxf>
      <numFmt numFmtId="0" formatCode="General"/>
    </odxf>
    <ndxf>
      <numFmt numFmtId="164" formatCode="#,##0.0"/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" sId="1" numFmtId="4">
    <nc r="E739">
      <v>13048597.799999999</v>
    </nc>
  </rcc>
  <rcc rId="166" sId="1">
    <nc r="E740">
      <f>E735-E739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" sId="1" numFmtId="4">
    <nc r="F717">
      <v>0</v>
    </nc>
  </rcc>
  <rcc rId="168" sId="1" numFmtId="4">
    <nc r="G717">
      <v>0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" sId="1" odxf="1" s="1" dxf="1" numFmtId="4">
    <oc r="E462">
      <v>23902.9</v>
    </oc>
    <nc r="E462">
      <v>186690.69999999998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0" sId="1" odxf="1" s="1" dxf="1" numFmtId="4">
    <nc r="F462">
      <v>175684.4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1" sId="1" odxf="1" s="1" dxf="1" numFmtId="4">
    <nc r="G462">
      <v>171331.19999999998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2" sId="1" odxf="1" numFmtId="4">
    <oc r="F480">
      <v>183.8</v>
    </oc>
    <nc r="F480">
      <v>198</v>
    </nc>
    <odxf/>
  </rcc>
  <rcc rId="173" sId="1" odxf="1" numFmtId="4">
    <oc r="G480">
      <v>183.8</v>
    </oc>
    <nc r="G480">
      <v>198</v>
    </nc>
    <odxf/>
  </rcc>
  <rrc rId="174" sId="1" ref="A459:XFD459" action="deleteRow">
    <rfmt sheetId="1" xfDxf="1" sqref="A459:XFD45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59" t="inlineStr">
        <is>
  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general" wrapText="1"/>
      </ndxf>
    </rcc>
    <rcc rId="0" sId="1" s="1" dxf="1">
      <nc r="B45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C459" t="inlineStr">
        <is>
          <t>04 3 01 L3040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fmt sheetId="1" s="1" sqref="D459" start="0" length="0">
      <dxf>
        <font>
          <sz val="12"/>
          <color auto="1"/>
          <name val="Times New Roman"/>
          <family val="1"/>
          <charset val="204"/>
          <scheme val="none"/>
        </font>
        <fill>
          <patternFill patternType="solid">
            <bgColor theme="4" tint="-0.499984740745262"/>
          </patternFill>
        </fill>
        <alignment horizontal="center"/>
      </dxf>
    </rfmt>
    <rcc rId="0" sId="1" s="1" dxf="1">
      <nc r="E459">
        <f>E460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F459">
        <f>F460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G459">
        <f>G460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75" sId="1" ref="A459:XFD459" action="deleteRow">
    <rfmt sheetId="1" xfDxf="1" sqref="A459:XFD45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5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4" tint="-0.499984740745262"/>
          </patternFill>
        </fill>
        <alignment wrapText="1"/>
      </ndxf>
    </rcc>
    <rcc rId="0" sId="1" s="1" dxf="1">
      <nc r="B45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C459" t="inlineStr">
        <is>
          <t>04 3 01 L3040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D459">
        <v>600</v>
      </nc>
      <ndxf>
        <font>
          <sz val="12"/>
          <color auto="1"/>
          <name val="Times New Roman"/>
          <family val="1"/>
          <charset val="204"/>
          <scheme val="none"/>
        </font>
        <fill>
          <patternFill patternType="solid">
            <bgColor theme="4" tint="-0.499984740745262"/>
          </patternFill>
        </fill>
        <alignment horizontal="center"/>
      </ndxf>
    </rcc>
    <rcc rId="0" sId="1" s="1" dxf="1" numFmtId="4">
      <nc r="E459">
        <v>162787.79999999999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F459">
        <v>162787.79999999999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G459">
        <v>162787.79999999999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59:G459" start="0" length="2147483647">
    <dxf>
      <font>
        <color auto="1"/>
      </font>
    </dxf>
  </rfmt>
  <rcc rId="176" sId="1">
    <oc r="E458">
      <f>E459+E463+E465+E467+E469+E471+E473+E477+E479+E481+E483+E461+E475+E485++E487</f>
    </oc>
    <nc r="E458">
      <f>E461+E463+E465+E467+E469+E475+E477+E479+E481+E459+E473+E483++E485</f>
    </nc>
  </rcc>
  <rcc rId="177" sId="1">
    <oc r="F458">
      <f>F459+F463+F465+F467+F469+F471+F473+F477+F479+F481+F483+F461+F475+F485</f>
    </oc>
    <nc r="F458">
      <f>F461+F463+F465+F467+F469+F475+F477+F479+F481+F459+F473+F483++F485</f>
    </nc>
  </rcc>
  <rcc rId="178" sId="1">
    <oc r="G458">
      <f>G459+G463+G465+G467+G469+G471+G473+G477+G479+G481+G483+G461+G475+G485</f>
    </oc>
    <nc r="G458">
      <f>G461+G463+G465+G467+G469+G475+G477+G479+G481+G459+G473+G483++G485</f>
    </nc>
  </rcc>
  <rrc rId="179" sId="1" ref="A471:XFD471" action="deleteRow">
    <rfmt sheetId="1" xfDxf="1" sqref="A471:XFD4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71" t="inlineStr">
        <is>
  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general" wrapText="1"/>
      </ndxf>
    </rcc>
    <rcc rId="0" sId="1" s="1" dxf="1">
      <nc r="B471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C471" t="inlineStr">
        <is>
          <t>04 3 01 53030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fmt sheetId="1" sqref="D471" start="0" length="0">
      <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center"/>
      </dxf>
    </rfmt>
    <rcc rId="0" sId="1" s="1" dxf="1">
      <nc r="E471">
        <f>E472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F471">
        <f>F472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G471">
        <f>G472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80" sId="1" ref="A471:XFD471" action="deleteRow">
    <rfmt sheetId="1" xfDxf="1" sqref="A471:XFD4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1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4" tint="-0.499984740745262"/>
          </patternFill>
        </fill>
        <alignment wrapText="1"/>
      </ndxf>
    </rcc>
    <rcc rId="0" sId="1" s="1" dxf="1">
      <nc r="B471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C471" t="inlineStr">
        <is>
          <t>04 3 01 53030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D471">
        <v>600</v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E471">
        <f>124445.2-124445.2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F47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G47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71:G471" start="0" length="2147483647">
    <dxf>
      <font>
        <color auto="1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1" numFmtId="4">
    <oc r="F419">
      <f>1152+8416.8</f>
    </oc>
    <nc r="F419">
      <v>8160.5</v>
    </nc>
  </rcc>
  <rcc rId="19" sId="1" numFmtId="4">
    <oc r="G419">
      <f>1152+8416.8</f>
    </oc>
    <nc r="G419">
      <v>8160.5</v>
    </nc>
  </rcc>
  <rcc rId="20" sId="1" numFmtId="4">
    <oc r="F422">
      <v>1103563.6000000001</v>
    </oc>
    <nc r="F422">
      <v>1233763.6000000001</v>
    </nc>
  </rcc>
  <rcc rId="21" sId="1" xfDxf="1" dxf="1" numFmtId="4">
    <oc r="G422">
      <v>1103563.6000000001</v>
    </oc>
    <nc r="G422">
      <v>1233763.6000000001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 vertical="top"/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1">
    <oc r="G261">
      <f>7951.04+787191.5</f>
    </oc>
    <nc r="G261">
      <f>7951.4+787191.5</f>
    </nc>
  </rcc>
  <rcc rId="182" sId="1">
    <nc r="F344">
      <f>1276.6+20000</f>
    </nc>
  </rcc>
  <rcc rId="183" sId="1">
    <nc r="G344">
      <f>1276.6+20000</f>
    </nc>
  </rcc>
  <rcc rId="184" sId="1">
    <nc r="F330">
      <f>1089.7+107886.2</f>
    </nc>
  </rcc>
  <rcc rId="185" sId="1">
    <nc r="G330">
      <f>1044.7+103428.7</f>
    </nc>
  </rcc>
  <rcc rId="186" sId="1">
    <nc r="F342">
      <f>464.2+7272.7</f>
    </nc>
  </rcc>
  <rcc rId="187" sId="1" numFmtId="4">
    <oc r="F383">
      <v>1.8</v>
    </oc>
    <nc r="F383">
      <f>1.8-0.3</f>
    </nc>
  </rcc>
  <rcc rId="188" sId="1" numFmtId="4">
    <oc r="G383">
      <v>1.8</v>
    </oc>
    <nc r="G383">
      <f>1.8-0.3</f>
    </nc>
  </rcc>
  <rcc rId="189" sId="1">
    <oc r="F537">
      <f>429.6+129.8</f>
    </oc>
    <nc r="F537">
      <f>429.6+129.8+235.6</f>
    </nc>
  </rcc>
  <rcc rId="190" sId="1">
    <oc r="G537">
      <f>429.6+129.8</f>
    </oc>
    <nc r="G537">
      <f>429.6+129.8+235.6</f>
    </nc>
  </rcc>
  <rcc rId="191" sId="1" numFmtId="4">
    <oc r="F540">
      <v>0</v>
    </oc>
    <nc r="F540">
      <v>1174.8</v>
    </nc>
  </rcc>
  <rcc rId="192" sId="1" numFmtId="4">
    <oc r="G540">
      <v>0</v>
    </oc>
    <nc r="G540">
      <v>1174.8</v>
    </nc>
  </rcc>
  <rcc rId="193" sId="1" numFmtId="4">
    <oc r="F543">
      <v>1817.2</v>
    </oc>
    <nc r="F543">
      <f>1817.2-1817.2</f>
    </nc>
  </rcc>
  <rcc rId="194" sId="1" numFmtId="4">
    <oc r="G543">
      <v>1817.2</v>
    </oc>
    <nc r="G543">
      <f>1817.2-1817.2</f>
    </nc>
  </rcc>
  <rcc rId="195" sId="1" numFmtId="4">
    <oc r="F555">
      <v>14085.1</v>
    </oc>
    <nc r="F555">
      <f>14085.1-491.4-7699.7</f>
    </nc>
  </rcc>
  <rcc rId="196" sId="1" numFmtId="4">
    <oc r="G555">
      <v>14085.1</v>
    </oc>
    <nc r="G555">
      <f>14085.1-493.7-7735.4</f>
    </nc>
  </rcc>
  <rcc rId="197" sId="1">
    <oc r="C562" t="inlineStr">
      <is>
        <t>04 6 03 10603</t>
      </is>
    </oc>
    <nc r="C562" t="inlineStr">
      <is>
        <t>04 3 03 10603</t>
      </is>
    </nc>
  </rcc>
  <rfmt sheetId="1" s="1" sqref="F566" start="0" length="0">
    <dxf>
      <font>
        <sz val="12"/>
        <color rgb="FFFF0000"/>
        <name val="Times New Roman"/>
        <scheme val="none"/>
      </font>
    </dxf>
  </rfmt>
  <rcc rId="198" sId="1">
    <oc r="F566">
      <f>E566</f>
    </oc>
    <nc r="F566">
      <f>1614.9-60.9</f>
    </nc>
  </rcc>
  <rcc rId="199" sId="1" odxf="1" s="1" dxf="1">
    <oc r="G566">
      <f>E566</f>
    </oc>
    <nc r="G566">
      <f>1614.9-60.9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scheme val="none"/>
      </font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" sId="1" odxf="1" numFmtId="4">
    <oc r="F537">
      <f>429.6+129.8</f>
    </oc>
    <nc r="F537">
      <v>795.00000000000011</v>
    </nc>
    <odxf/>
  </rcc>
  <rcft rId="189" sheetId="1"/>
  <rcc rId="201" sId="1" odxf="1" numFmtId="4">
    <oc r="G537">
      <f>429.6+129.8</f>
    </oc>
    <nc r="G537">
      <v>795.00000000000011</v>
    </nc>
    <odxf/>
  </rcc>
  <rcft rId="190" sheetId="1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formula>
  </rdn>
  <rdn rId="0" localSheetId="1" customView="1" name="Z_1CA6CCC9_64EF_4CA9_9C9C_1E572976D134_.wvu.FilterData" hidden="1" oldHidden="1">
    <formula>рпр!$C$3:$C$738</formula>
    <oldFormula>рпр!$C$3:$C$738</oldFormula>
  </rdn>
  <rcv guid="{1CA6CCC9-64EF-4CA9-9C9C-1E572976D134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" sId="1">
    <oc r="F732">
      <f>F731-'Z:\Уточнения бюджета в 2025\Март\[Ведомственная_2025-2027 март.xlsx]2025-2027'!$AJ$812</f>
    </oc>
    <nc r="F732"/>
  </rcc>
  <rcc rId="206" sId="1" numFmtId="4">
    <oc r="E735">
      <v>13048597.799999999</v>
    </oc>
    <nc r="E735"/>
  </rcc>
  <rcc rId="207" sId="1" numFmtId="4">
    <oc r="F735">
      <v>13623666.300000001</v>
    </oc>
    <nc r="F735"/>
  </rcc>
  <rcc rId="208" sId="1" numFmtId="4">
    <oc r="G735">
      <v>12736436.500000002</v>
    </oc>
    <nc r="G735"/>
  </rcc>
  <rcc rId="209" sId="1">
    <oc r="E736">
      <f>E731-E735</f>
    </oc>
    <nc r="E736"/>
  </rcc>
  <rcc rId="210" sId="1">
    <oc r="F736">
      <f>F731-F735</f>
    </oc>
    <nc r="F736"/>
  </rcc>
  <rcc rId="211" sId="1">
    <oc r="G736">
      <f>G731-G735</f>
    </oc>
    <nc r="G736"/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" sId="1" numFmtId="4">
    <nc r="E733">
      <v>13048597.799999999</v>
    </nc>
  </rcc>
  <rcc rId="213" sId="1" numFmtId="4">
    <nc r="F733">
      <v>13623666.300000001</v>
    </nc>
  </rcc>
  <rcc rId="214" sId="1">
    <nc r="G733">
      <v>12736436.499999998</v>
    </nc>
  </rcc>
  <rcc rId="215" sId="1">
    <nc r="E734">
      <f>E733-E731</f>
    </nc>
  </rcc>
  <rcc rId="216" sId="1">
    <nc r="F734">
      <f>F733-F731</f>
    </nc>
  </rcc>
  <rcc rId="217" sId="1" odxf="1" dxf="1">
    <nc r="G734">
      <f>G733-G731</f>
    </nc>
    <odxf>
      <numFmt numFmtId="0" formatCode="General"/>
    </odxf>
    <ndxf>
      <numFmt numFmtId="164" formatCode="#,##0.0"/>
    </ndxf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formula>
    <old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oldFormula>
  </rdn>
  <rdn rId="0" localSheetId="1" customView="1" name="Z_1CA6CCC9_64EF_4CA9_9C9C_1E572976D134_.wvu.FilterData" hidden="1" oldHidden="1">
    <formula>рпр!$C$3:$C$738</formula>
    <oldFormula>рпр!$C$3:$C$738</oldFormula>
  </rdn>
  <rcv guid="{1CA6CCC9-64EF-4CA9-9C9C-1E572976D1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" sId="1" numFmtId="4">
    <nc r="F74">
      <v>0</v>
    </nc>
  </rcc>
  <rcc rId="222" sId="1" numFmtId="4">
    <nc r="G74">
      <v>0</v>
    </nc>
  </rcc>
  <rcc rId="223" sId="1" numFmtId="4">
    <nc r="F81">
      <v>0</v>
    </nc>
  </rcc>
  <rcc rId="224" sId="1" numFmtId="4">
    <nc r="G81">
      <v>0</v>
    </nc>
  </rcc>
  <rcc rId="225" sId="1" numFmtId="4">
    <nc r="F83">
      <v>0</v>
    </nc>
  </rcc>
  <rcc rId="226" sId="1" numFmtId="4">
    <nc r="G83">
      <v>0</v>
    </nc>
  </rcc>
  <rcc rId="227" sId="1" numFmtId="4">
    <nc r="F138">
      <v>0</v>
    </nc>
  </rcc>
  <rcc rId="228" sId="1" numFmtId="4">
    <nc r="G138">
      <v>0</v>
    </nc>
  </rcc>
  <rcc rId="229" sId="1" numFmtId="4">
    <nc r="G144">
      <v>0</v>
    </nc>
  </rcc>
  <rcc rId="230" sId="1" numFmtId="4">
    <nc r="G146">
      <v>0</v>
    </nc>
  </rcc>
  <rrc rId="231" sId="1" ref="A147:XFD147" action="deleteRow">
    <undo index="0" exp="ref" v="1" dr="G147" r="G141" sId="1"/>
    <undo index="0" exp="ref" v="1" dr="F147" r="F141" sId="1"/>
    <undo index="0" exp="ref" v="1" dr="E147" r="E141" sId="1"/>
    <undo index="65535" exp="area" ref3D="1" dr="$A$727:$XFD$729" dn="Z_1CA6CCC9_64EF_4CA9_9C9C_1E572976D134_.wvu.Rows" sId="1"/>
    <undo index="65535" exp="area" ref3D="1" dr="$A$722:$XFD$724" dn="Z_1CA6CCC9_64EF_4CA9_9C9C_1E572976D134_.wvu.Rows" sId="1"/>
    <undo index="65535" exp="area" ref3D="1" dr="$A$701:$XFD$719" dn="Z_1CA6CCC9_64EF_4CA9_9C9C_1E572976D134_.wvu.Rows" sId="1"/>
    <undo index="65535" exp="area" ref3D="1" dr="$A$686:$XFD$699" dn="Z_1CA6CCC9_64EF_4CA9_9C9C_1E572976D134_.wvu.Rows" sId="1"/>
    <undo index="65535" exp="area" ref3D="1" dr="$A$676:$XFD$684" dn="Z_1CA6CCC9_64EF_4CA9_9C9C_1E572976D134_.wvu.Rows" sId="1"/>
    <undo index="65535" exp="area" ref3D="1" dr="$A$644:$XFD$673" dn="Z_1CA6CCC9_64EF_4CA9_9C9C_1E572976D134_.wvu.Rows" sId="1"/>
    <undo index="65535" exp="area" ref3D="1" dr="$A$623:$XFD$642" dn="Z_1CA6CCC9_64EF_4CA9_9C9C_1E572976D134_.wvu.Rows" sId="1"/>
    <undo index="65535" exp="area" ref3D="1" dr="$A$619:$XFD$621" dn="Z_1CA6CCC9_64EF_4CA9_9C9C_1E572976D134_.wvu.Rows" sId="1"/>
    <undo index="65535" exp="area" ref3D="1" dr="$A$595:$XFD$616" dn="Z_1CA6CCC9_64EF_4CA9_9C9C_1E572976D134_.wvu.Rows" sId="1"/>
    <undo index="65535" exp="area" ref3D="1" dr="$A$578:$XFD$593" dn="Z_1CA6CCC9_64EF_4CA9_9C9C_1E572976D134_.wvu.Rows" sId="1"/>
    <undo index="65535" exp="area" ref3D="1" dr="$A$531:$XFD$575" dn="Z_1CA6CCC9_64EF_4CA9_9C9C_1E572976D134_.wvu.Rows" sId="1"/>
    <undo index="65535" exp="area" ref3D="1" dr="$A$513:$XFD$529" dn="Z_1CA6CCC9_64EF_4CA9_9C9C_1E572976D134_.wvu.Rows" sId="1"/>
    <undo index="65535" exp="area" ref3D="1" dr="$A$497:$XFD$511" dn="Z_1CA6CCC9_64EF_4CA9_9C9C_1E572976D134_.wvu.Rows" sId="1"/>
    <undo index="65535" exp="area" ref3D="1" dr="$A$427:$XFD$495" dn="Z_1CA6CCC9_64EF_4CA9_9C9C_1E572976D134_.wvu.Rows" sId="1"/>
    <undo index="65535" exp="area" ref3D="1" dr="$A$407:$XFD$425" dn="Z_1CA6CCC9_64EF_4CA9_9C9C_1E572976D134_.wvu.Rows" sId="1"/>
    <undo index="65535" exp="area" ref3D="1" dr="$A$400:$XFD$404" dn="Z_1CA6CCC9_64EF_4CA9_9C9C_1E572976D134_.wvu.Rows" sId="1"/>
    <undo index="65535" exp="area" ref3D="1" dr="$A$379:$XFD$397" dn="Z_1CA6CCC9_64EF_4CA9_9C9C_1E572976D134_.wvu.Rows" sId="1"/>
    <undo index="65535" exp="area" ref3D="1" dr="$A$324:$XFD$377" dn="Z_1CA6CCC9_64EF_4CA9_9C9C_1E572976D134_.wvu.Rows" sId="1"/>
    <undo index="65535" exp="area" ref3D="1" dr="$A$241:$XFD$322" dn="Z_1CA6CCC9_64EF_4CA9_9C9C_1E572976D134_.wvu.Rows" sId="1"/>
    <undo index="65535" exp="area" ref3D="1" dr="$A$221:$XFD$239" dn="Z_1CA6CCC9_64EF_4CA9_9C9C_1E572976D134_.wvu.Rows" sId="1"/>
    <undo index="65535" exp="area" ref3D="1" dr="$A$198:$XFD$218" dn="Z_1CA6CCC9_64EF_4CA9_9C9C_1E572976D134_.wvu.Rows" sId="1"/>
    <undo index="65535" exp="area" ref3D="1" dr="$A$140:$XFD$196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Муниципальный проект "Дорожная сеть"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E148+E150+E152+E154+E156+E158+E160+E162+E164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F148+F150+F152+F154+F156+F158+F160+F162+F164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G148+G150+G152+G154+G156+G158+G160+G162+G164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2" sId="1" ref="A147:XFD147" action="deleteRow">
    <undo index="65535" exp="area" ref3D="1" dr="$A$726:$XFD$728" dn="Z_1CA6CCC9_64EF_4CA9_9C9C_1E572976D134_.wvu.Rows" sId="1"/>
    <undo index="65535" exp="area" ref3D="1" dr="$A$721:$XFD$723" dn="Z_1CA6CCC9_64EF_4CA9_9C9C_1E572976D134_.wvu.Rows" sId="1"/>
    <undo index="65535" exp="area" ref3D="1" dr="$A$700:$XFD$718" dn="Z_1CA6CCC9_64EF_4CA9_9C9C_1E572976D134_.wvu.Rows" sId="1"/>
    <undo index="65535" exp="area" ref3D="1" dr="$A$685:$XFD$698" dn="Z_1CA6CCC9_64EF_4CA9_9C9C_1E572976D134_.wvu.Rows" sId="1"/>
    <undo index="65535" exp="area" ref3D="1" dr="$A$675:$XFD$683" dn="Z_1CA6CCC9_64EF_4CA9_9C9C_1E572976D134_.wvu.Rows" sId="1"/>
    <undo index="65535" exp="area" ref3D="1" dr="$A$643:$XFD$672" dn="Z_1CA6CCC9_64EF_4CA9_9C9C_1E572976D134_.wvu.Rows" sId="1"/>
    <undo index="65535" exp="area" ref3D="1" dr="$A$622:$XFD$641" dn="Z_1CA6CCC9_64EF_4CA9_9C9C_1E572976D134_.wvu.Rows" sId="1"/>
    <undo index="65535" exp="area" ref3D="1" dr="$A$618:$XFD$620" dn="Z_1CA6CCC9_64EF_4CA9_9C9C_1E572976D134_.wvu.Rows" sId="1"/>
    <undo index="65535" exp="area" ref3D="1" dr="$A$594:$XFD$615" dn="Z_1CA6CCC9_64EF_4CA9_9C9C_1E572976D134_.wvu.Rows" sId="1"/>
    <undo index="65535" exp="area" ref3D="1" dr="$A$577:$XFD$592" dn="Z_1CA6CCC9_64EF_4CA9_9C9C_1E572976D134_.wvu.Rows" sId="1"/>
    <undo index="65535" exp="area" ref3D="1" dr="$A$530:$XFD$574" dn="Z_1CA6CCC9_64EF_4CA9_9C9C_1E572976D134_.wvu.Rows" sId="1"/>
    <undo index="65535" exp="area" ref3D="1" dr="$A$512:$XFD$528" dn="Z_1CA6CCC9_64EF_4CA9_9C9C_1E572976D134_.wvu.Rows" sId="1"/>
    <undo index="65535" exp="area" ref3D="1" dr="$A$496:$XFD$510" dn="Z_1CA6CCC9_64EF_4CA9_9C9C_1E572976D134_.wvu.Rows" sId="1"/>
    <undo index="65535" exp="area" ref3D="1" dr="$A$426:$XFD$494" dn="Z_1CA6CCC9_64EF_4CA9_9C9C_1E572976D134_.wvu.Rows" sId="1"/>
    <undo index="65535" exp="area" ref3D="1" dr="$A$406:$XFD$424" dn="Z_1CA6CCC9_64EF_4CA9_9C9C_1E572976D134_.wvu.Rows" sId="1"/>
    <undo index="65535" exp="area" ref3D="1" dr="$A$399:$XFD$403" dn="Z_1CA6CCC9_64EF_4CA9_9C9C_1E572976D134_.wvu.Rows" sId="1"/>
    <undo index="65535" exp="area" ref3D="1" dr="$A$378:$XFD$396" dn="Z_1CA6CCC9_64EF_4CA9_9C9C_1E572976D134_.wvu.Rows" sId="1"/>
    <undo index="65535" exp="area" ref3D="1" dr="$A$323:$XFD$376" dn="Z_1CA6CCC9_64EF_4CA9_9C9C_1E572976D134_.wvu.Rows" sId="1"/>
    <undo index="65535" exp="area" ref3D="1" dr="$A$240:$XFD$321" dn="Z_1CA6CCC9_64EF_4CA9_9C9C_1E572976D134_.wvu.Rows" sId="1"/>
    <undo index="65535" exp="area" ref3D="1" dr="$A$220:$XFD$238" dn="Z_1CA6CCC9_64EF_4CA9_9C9C_1E572976D134_.wvu.Rows" sId="1"/>
    <undo index="65535" exp="area" ref3D="1" dr="$A$197:$XFD$217" dn="Z_1CA6CCC9_64EF_4CA9_9C9C_1E572976D134_.wvu.Rows" sId="1"/>
    <undo index="65535" exp="area" ref3D="1" dr="$A$140:$XFD$195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9Д111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3" sId="1" ref="A147:XFD147" action="deleteRow">
    <undo index="65535" exp="area" ref3D="1" dr="$A$725:$XFD$727" dn="Z_1CA6CCC9_64EF_4CA9_9C9C_1E572976D134_.wvu.Rows" sId="1"/>
    <undo index="65535" exp="area" ref3D="1" dr="$A$720:$XFD$722" dn="Z_1CA6CCC9_64EF_4CA9_9C9C_1E572976D134_.wvu.Rows" sId="1"/>
    <undo index="65535" exp="area" ref3D="1" dr="$A$699:$XFD$717" dn="Z_1CA6CCC9_64EF_4CA9_9C9C_1E572976D134_.wvu.Rows" sId="1"/>
    <undo index="65535" exp="area" ref3D="1" dr="$A$684:$XFD$697" dn="Z_1CA6CCC9_64EF_4CA9_9C9C_1E572976D134_.wvu.Rows" sId="1"/>
    <undo index="65535" exp="area" ref3D="1" dr="$A$674:$XFD$682" dn="Z_1CA6CCC9_64EF_4CA9_9C9C_1E572976D134_.wvu.Rows" sId="1"/>
    <undo index="65535" exp="area" ref3D="1" dr="$A$642:$XFD$671" dn="Z_1CA6CCC9_64EF_4CA9_9C9C_1E572976D134_.wvu.Rows" sId="1"/>
    <undo index="65535" exp="area" ref3D="1" dr="$A$621:$XFD$640" dn="Z_1CA6CCC9_64EF_4CA9_9C9C_1E572976D134_.wvu.Rows" sId="1"/>
    <undo index="65535" exp="area" ref3D="1" dr="$A$617:$XFD$619" dn="Z_1CA6CCC9_64EF_4CA9_9C9C_1E572976D134_.wvu.Rows" sId="1"/>
    <undo index="65535" exp="area" ref3D="1" dr="$A$593:$XFD$614" dn="Z_1CA6CCC9_64EF_4CA9_9C9C_1E572976D134_.wvu.Rows" sId="1"/>
    <undo index="65535" exp="area" ref3D="1" dr="$A$576:$XFD$591" dn="Z_1CA6CCC9_64EF_4CA9_9C9C_1E572976D134_.wvu.Rows" sId="1"/>
    <undo index="65535" exp="area" ref3D="1" dr="$A$529:$XFD$573" dn="Z_1CA6CCC9_64EF_4CA9_9C9C_1E572976D134_.wvu.Rows" sId="1"/>
    <undo index="65535" exp="area" ref3D="1" dr="$A$511:$XFD$527" dn="Z_1CA6CCC9_64EF_4CA9_9C9C_1E572976D134_.wvu.Rows" sId="1"/>
    <undo index="65535" exp="area" ref3D="1" dr="$A$495:$XFD$509" dn="Z_1CA6CCC9_64EF_4CA9_9C9C_1E572976D134_.wvu.Rows" sId="1"/>
    <undo index="65535" exp="area" ref3D="1" dr="$A$425:$XFD$493" dn="Z_1CA6CCC9_64EF_4CA9_9C9C_1E572976D134_.wvu.Rows" sId="1"/>
    <undo index="65535" exp="area" ref3D="1" dr="$A$405:$XFD$423" dn="Z_1CA6CCC9_64EF_4CA9_9C9C_1E572976D134_.wvu.Rows" sId="1"/>
    <undo index="65535" exp="area" ref3D="1" dr="$A$398:$XFD$402" dn="Z_1CA6CCC9_64EF_4CA9_9C9C_1E572976D134_.wvu.Rows" sId="1"/>
    <undo index="65535" exp="area" ref3D="1" dr="$A$377:$XFD$395" dn="Z_1CA6CCC9_64EF_4CA9_9C9C_1E572976D134_.wvu.Rows" sId="1"/>
    <undo index="65535" exp="area" ref3D="1" dr="$A$322:$XFD$375" dn="Z_1CA6CCC9_64EF_4CA9_9C9C_1E572976D134_.wvu.Rows" sId="1"/>
    <undo index="65535" exp="area" ref3D="1" dr="$A$239:$XFD$320" dn="Z_1CA6CCC9_64EF_4CA9_9C9C_1E572976D134_.wvu.Rows" sId="1"/>
    <undo index="65535" exp="area" ref3D="1" dr="$A$219:$XFD$237" dn="Z_1CA6CCC9_64EF_4CA9_9C9C_1E572976D134_.wvu.Rows" sId="1"/>
    <undo index="65535" exp="area" ref3D="1" dr="$A$196:$XFD$216" dn="Z_1CA6CCC9_64EF_4CA9_9C9C_1E572976D134_.wvu.Rows" sId="1"/>
    <undo index="65535" exp="area" ref3D="1" dr="$A$140:$XFD$194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9Д111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71213.1-71213.1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5731.6-5731.6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4" sId="1" ref="A147:XFD147" action="deleteRow">
    <undo index="65535" exp="area" ref3D="1" dr="$A$724:$XFD$726" dn="Z_1CA6CCC9_64EF_4CA9_9C9C_1E572976D134_.wvu.Rows" sId="1"/>
    <undo index="65535" exp="area" ref3D="1" dr="$A$719:$XFD$721" dn="Z_1CA6CCC9_64EF_4CA9_9C9C_1E572976D134_.wvu.Rows" sId="1"/>
    <undo index="65535" exp="area" ref3D="1" dr="$A$698:$XFD$716" dn="Z_1CA6CCC9_64EF_4CA9_9C9C_1E572976D134_.wvu.Rows" sId="1"/>
    <undo index="65535" exp="area" ref3D="1" dr="$A$683:$XFD$696" dn="Z_1CA6CCC9_64EF_4CA9_9C9C_1E572976D134_.wvu.Rows" sId="1"/>
    <undo index="65535" exp="area" ref3D="1" dr="$A$673:$XFD$681" dn="Z_1CA6CCC9_64EF_4CA9_9C9C_1E572976D134_.wvu.Rows" sId="1"/>
    <undo index="65535" exp="area" ref3D="1" dr="$A$641:$XFD$670" dn="Z_1CA6CCC9_64EF_4CA9_9C9C_1E572976D134_.wvu.Rows" sId="1"/>
    <undo index="65535" exp="area" ref3D="1" dr="$A$620:$XFD$639" dn="Z_1CA6CCC9_64EF_4CA9_9C9C_1E572976D134_.wvu.Rows" sId="1"/>
    <undo index="65535" exp="area" ref3D="1" dr="$A$616:$XFD$618" dn="Z_1CA6CCC9_64EF_4CA9_9C9C_1E572976D134_.wvu.Rows" sId="1"/>
    <undo index="65535" exp="area" ref3D="1" dr="$A$592:$XFD$613" dn="Z_1CA6CCC9_64EF_4CA9_9C9C_1E572976D134_.wvu.Rows" sId="1"/>
    <undo index="65535" exp="area" ref3D="1" dr="$A$575:$XFD$590" dn="Z_1CA6CCC9_64EF_4CA9_9C9C_1E572976D134_.wvu.Rows" sId="1"/>
    <undo index="65535" exp="area" ref3D="1" dr="$A$528:$XFD$572" dn="Z_1CA6CCC9_64EF_4CA9_9C9C_1E572976D134_.wvu.Rows" sId="1"/>
    <undo index="65535" exp="area" ref3D="1" dr="$A$510:$XFD$526" dn="Z_1CA6CCC9_64EF_4CA9_9C9C_1E572976D134_.wvu.Rows" sId="1"/>
    <undo index="65535" exp="area" ref3D="1" dr="$A$494:$XFD$508" dn="Z_1CA6CCC9_64EF_4CA9_9C9C_1E572976D134_.wvu.Rows" sId="1"/>
    <undo index="65535" exp="area" ref3D="1" dr="$A$424:$XFD$492" dn="Z_1CA6CCC9_64EF_4CA9_9C9C_1E572976D134_.wvu.Rows" sId="1"/>
    <undo index="65535" exp="area" ref3D="1" dr="$A$404:$XFD$422" dn="Z_1CA6CCC9_64EF_4CA9_9C9C_1E572976D134_.wvu.Rows" sId="1"/>
    <undo index="65535" exp="area" ref3D="1" dr="$A$397:$XFD$401" dn="Z_1CA6CCC9_64EF_4CA9_9C9C_1E572976D134_.wvu.Rows" sId="1"/>
    <undo index="65535" exp="area" ref3D="1" dr="$A$376:$XFD$394" dn="Z_1CA6CCC9_64EF_4CA9_9C9C_1E572976D134_.wvu.Rows" sId="1"/>
    <undo index="65535" exp="area" ref3D="1" dr="$A$321:$XFD$374" dn="Z_1CA6CCC9_64EF_4CA9_9C9C_1E572976D134_.wvu.Rows" sId="1"/>
    <undo index="65535" exp="area" ref3D="1" dr="$A$238:$XFD$319" dn="Z_1CA6CCC9_64EF_4CA9_9C9C_1E572976D134_.wvu.Rows" sId="1"/>
    <undo index="65535" exp="area" ref3D="1" dr="$A$218:$XFD$236" dn="Z_1CA6CCC9_64EF_4CA9_9C9C_1E572976D134_.wvu.Rows" sId="1"/>
    <undo index="65535" exp="area" ref3D="1" dr="$A$195:$XFD$215" dn="Z_1CA6CCC9_64EF_4CA9_9C9C_1E572976D134_.wvu.Rows" sId="1"/>
    <undo index="65535" exp="area" ref3D="1" dr="$A$140:$XFD$193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5" sId="1" ref="A147:XFD147" action="deleteRow">
    <undo index="65535" exp="area" ref3D="1" dr="$A$723:$XFD$725" dn="Z_1CA6CCC9_64EF_4CA9_9C9C_1E572976D134_.wvu.Rows" sId="1"/>
    <undo index="65535" exp="area" ref3D="1" dr="$A$718:$XFD$720" dn="Z_1CA6CCC9_64EF_4CA9_9C9C_1E572976D134_.wvu.Rows" sId="1"/>
    <undo index="65535" exp="area" ref3D="1" dr="$A$697:$XFD$715" dn="Z_1CA6CCC9_64EF_4CA9_9C9C_1E572976D134_.wvu.Rows" sId="1"/>
    <undo index="65535" exp="area" ref3D="1" dr="$A$682:$XFD$695" dn="Z_1CA6CCC9_64EF_4CA9_9C9C_1E572976D134_.wvu.Rows" sId="1"/>
    <undo index="65535" exp="area" ref3D="1" dr="$A$672:$XFD$680" dn="Z_1CA6CCC9_64EF_4CA9_9C9C_1E572976D134_.wvu.Rows" sId="1"/>
    <undo index="65535" exp="area" ref3D="1" dr="$A$640:$XFD$669" dn="Z_1CA6CCC9_64EF_4CA9_9C9C_1E572976D134_.wvu.Rows" sId="1"/>
    <undo index="65535" exp="area" ref3D="1" dr="$A$619:$XFD$638" dn="Z_1CA6CCC9_64EF_4CA9_9C9C_1E572976D134_.wvu.Rows" sId="1"/>
    <undo index="65535" exp="area" ref3D="1" dr="$A$615:$XFD$617" dn="Z_1CA6CCC9_64EF_4CA9_9C9C_1E572976D134_.wvu.Rows" sId="1"/>
    <undo index="65535" exp="area" ref3D="1" dr="$A$591:$XFD$612" dn="Z_1CA6CCC9_64EF_4CA9_9C9C_1E572976D134_.wvu.Rows" sId="1"/>
    <undo index="65535" exp="area" ref3D="1" dr="$A$574:$XFD$589" dn="Z_1CA6CCC9_64EF_4CA9_9C9C_1E572976D134_.wvu.Rows" sId="1"/>
    <undo index="65535" exp="area" ref3D="1" dr="$A$527:$XFD$571" dn="Z_1CA6CCC9_64EF_4CA9_9C9C_1E572976D134_.wvu.Rows" sId="1"/>
    <undo index="65535" exp="area" ref3D="1" dr="$A$509:$XFD$525" dn="Z_1CA6CCC9_64EF_4CA9_9C9C_1E572976D134_.wvu.Rows" sId="1"/>
    <undo index="65535" exp="area" ref3D="1" dr="$A$493:$XFD$507" dn="Z_1CA6CCC9_64EF_4CA9_9C9C_1E572976D134_.wvu.Rows" sId="1"/>
    <undo index="65535" exp="area" ref3D="1" dr="$A$423:$XFD$491" dn="Z_1CA6CCC9_64EF_4CA9_9C9C_1E572976D134_.wvu.Rows" sId="1"/>
    <undo index="65535" exp="area" ref3D="1" dr="$A$403:$XFD$421" dn="Z_1CA6CCC9_64EF_4CA9_9C9C_1E572976D134_.wvu.Rows" sId="1"/>
    <undo index="65535" exp="area" ref3D="1" dr="$A$396:$XFD$400" dn="Z_1CA6CCC9_64EF_4CA9_9C9C_1E572976D134_.wvu.Rows" sId="1"/>
    <undo index="65535" exp="area" ref3D="1" dr="$A$375:$XFD$393" dn="Z_1CA6CCC9_64EF_4CA9_9C9C_1E572976D134_.wvu.Rows" sId="1"/>
    <undo index="65535" exp="area" ref3D="1" dr="$A$320:$XFD$373" dn="Z_1CA6CCC9_64EF_4CA9_9C9C_1E572976D134_.wvu.Rows" sId="1"/>
    <undo index="65535" exp="area" ref3D="1" dr="$A$237:$XFD$318" dn="Z_1CA6CCC9_64EF_4CA9_9C9C_1E572976D134_.wvu.Rows" sId="1"/>
    <undo index="65535" exp="area" ref3D="1" dr="$A$217:$XFD$235" dn="Z_1CA6CCC9_64EF_4CA9_9C9C_1E572976D134_.wvu.Rows" sId="1"/>
    <undo index="65535" exp="area" ref3D="1" dr="$A$194:$XFD$214" dn="Z_1CA6CCC9_64EF_4CA9_9C9C_1E572976D134_.wvu.Rows" sId="1"/>
    <undo index="65535" exp="area" ref3D="1" dr="$A$140:$XFD$192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105343.4-105343.4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6" sId="1" ref="A147:XFD147" action="deleteRow">
    <undo index="65535" exp="area" ref3D="1" dr="$A$722:$XFD$724" dn="Z_1CA6CCC9_64EF_4CA9_9C9C_1E572976D134_.wvu.Rows" sId="1"/>
    <undo index="65535" exp="area" ref3D="1" dr="$A$717:$XFD$719" dn="Z_1CA6CCC9_64EF_4CA9_9C9C_1E572976D134_.wvu.Rows" sId="1"/>
    <undo index="65535" exp="area" ref3D="1" dr="$A$696:$XFD$714" dn="Z_1CA6CCC9_64EF_4CA9_9C9C_1E572976D134_.wvu.Rows" sId="1"/>
    <undo index="65535" exp="area" ref3D="1" dr="$A$681:$XFD$694" dn="Z_1CA6CCC9_64EF_4CA9_9C9C_1E572976D134_.wvu.Rows" sId="1"/>
    <undo index="65535" exp="area" ref3D="1" dr="$A$671:$XFD$679" dn="Z_1CA6CCC9_64EF_4CA9_9C9C_1E572976D134_.wvu.Rows" sId="1"/>
    <undo index="65535" exp="area" ref3D="1" dr="$A$639:$XFD$668" dn="Z_1CA6CCC9_64EF_4CA9_9C9C_1E572976D134_.wvu.Rows" sId="1"/>
    <undo index="65535" exp="area" ref3D="1" dr="$A$618:$XFD$637" dn="Z_1CA6CCC9_64EF_4CA9_9C9C_1E572976D134_.wvu.Rows" sId="1"/>
    <undo index="65535" exp="area" ref3D="1" dr="$A$614:$XFD$616" dn="Z_1CA6CCC9_64EF_4CA9_9C9C_1E572976D134_.wvu.Rows" sId="1"/>
    <undo index="65535" exp="area" ref3D="1" dr="$A$590:$XFD$611" dn="Z_1CA6CCC9_64EF_4CA9_9C9C_1E572976D134_.wvu.Rows" sId="1"/>
    <undo index="65535" exp="area" ref3D="1" dr="$A$573:$XFD$588" dn="Z_1CA6CCC9_64EF_4CA9_9C9C_1E572976D134_.wvu.Rows" sId="1"/>
    <undo index="65535" exp="area" ref3D="1" dr="$A$526:$XFD$570" dn="Z_1CA6CCC9_64EF_4CA9_9C9C_1E572976D134_.wvu.Rows" sId="1"/>
    <undo index="65535" exp="area" ref3D="1" dr="$A$508:$XFD$524" dn="Z_1CA6CCC9_64EF_4CA9_9C9C_1E572976D134_.wvu.Rows" sId="1"/>
    <undo index="65535" exp="area" ref3D="1" dr="$A$492:$XFD$506" dn="Z_1CA6CCC9_64EF_4CA9_9C9C_1E572976D134_.wvu.Rows" sId="1"/>
    <undo index="65535" exp="area" ref3D="1" dr="$A$422:$XFD$490" dn="Z_1CA6CCC9_64EF_4CA9_9C9C_1E572976D134_.wvu.Rows" sId="1"/>
    <undo index="65535" exp="area" ref3D="1" dr="$A$402:$XFD$420" dn="Z_1CA6CCC9_64EF_4CA9_9C9C_1E572976D134_.wvu.Rows" sId="1"/>
    <undo index="65535" exp="area" ref3D="1" dr="$A$395:$XFD$399" dn="Z_1CA6CCC9_64EF_4CA9_9C9C_1E572976D134_.wvu.Rows" sId="1"/>
    <undo index="65535" exp="area" ref3D="1" dr="$A$374:$XFD$392" dn="Z_1CA6CCC9_64EF_4CA9_9C9C_1E572976D134_.wvu.Rows" sId="1"/>
    <undo index="65535" exp="area" ref3D="1" dr="$A$319:$XFD$372" dn="Z_1CA6CCC9_64EF_4CA9_9C9C_1E572976D134_.wvu.Rows" sId="1"/>
    <undo index="65535" exp="area" ref3D="1" dr="$A$236:$XFD$317" dn="Z_1CA6CCC9_64EF_4CA9_9C9C_1E572976D134_.wvu.Rows" sId="1"/>
    <undo index="65535" exp="area" ref3D="1" dr="$A$216:$XFD$234" dn="Z_1CA6CCC9_64EF_4CA9_9C9C_1E572976D134_.wvu.Rows" sId="1"/>
    <undo index="65535" exp="area" ref3D="1" dr="$A$193:$XFD$213" dn="Z_1CA6CCC9_64EF_4CA9_9C9C_1E572976D134_.wvu.Rows" sId="1"/>
    <undo index="65535" exp="area" ref3D="1" dr="$A$140:$XFD$191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7" sId="1" ref="A147:XFD147" action="deleteRow">
    <undo index="65535" exp="area" ref3D="1" dr="$A$721:$XFD$723" dn="Z_1CA6CCC9_64EF_4CA9_9C9C_1E572976D134_.wvu.Rows" sId="1"/>
    <undo index="65535" exp="area" ref3D="1" dr="$A$716:$XFD$718" dn="Z_1CA6CCC9_64EF_4CA9_9C9C_1E572976D134_.wvu.Rows" sId="1"/>
    <undo index="65535" exp="area" ref3D="1" dr="$A$695:$XFD$713" dn="Z_1CA6CCC9_64EF_4CA9_9C9C_1E572976D134_.wvu.Rows" sId="1"/>
    <undo index="65535" exp="area" ref3D="1" dr="$A$680:$XFD$693" dn="Z_1CA6CCC9_64EF_4CA9_9C9C_1E572976D134_.wvu.Rows" sId="1"/>
    <undo index="65535" exp="area" ref3D="1" dr="$A$670:$XFD$678" dn="Z_1CA6CCC9_64EF_4CA9_9C9C_1E572976D134_.wvu.Rows" sId="1"/>
    <undo index="65535" exp="area" ref3D="1" dr="$A$638:$XFD$667" dn="Z_1CA6CCC9_64EF_4CA9_9C9C_1E572976D134_.wvu.Rows" sId="1"/>
    <undo index="65535" exp="area" ref3D="1" dr="$A$617:$XFD$636" dn="Z_1CA6CCC9_64EF_4CA9_9C9C_1E572976D134_.wvu.Rows" sId="1"/>
    <undo index="65535" exp="area" ref3D="1" dr="$A$613:$XFD$615" dn="Z_1CA6CCC9_64EF_4CA9_9C9C_1E572976D134_.wvu.Rows" sId="1"/>
    <undo index="65535" exp="area" ref3D="1" dr="$A$589:$XFD$610" dn="Z_1CA6CCC9_64EF_4CA9_9C9C_1E572976D134_.wvu.Rows" sId="1"/>
    <undo index="65535" exp="area" ref3D="1" dr="$A$572:$XFD$587" dn="Z_1CA6CCC9_64EF_4CA9_9C9C_1E572976D134_.wvu.Rows" sId="1"/>
    <undo index="65535" exp="area" ref3D="1" dr="$A$525:$XFD$569" dn="Z_1CA6CCC9_64EF_4CA9_9C9C_1E572976D134_.wvu.Rows" sId="1"/>
    <undo index="65535" exp="area" ref3D="1" dr="$A$507:$XFD$523" dn="Z_1CA6CCC9_64EF_4CA9_9C9C_1E572976D134_.wvu.Rows" sId="1"/>
    <undo index="65535" exp="area" ref3D="1" dr="$A$491:$XFD$505" dn="Z_1CA6CCC9_64EF_4CA9_9C9C_1E572976D134_.wvu.Rows" sId="1"/>
    <undo index="65535" exp="area" ref3D="1" dr="$A$421:$XFD$489" dn="Z_1CA6CCC9_64EF_4CA9_9C9C_1E572976D134_.wvu.Rows" sId="1"/>
    <undo index="65535" exp="area" ref3D="1" dr="$A$401:$XFD$419" dn="Z_1CA6CCC9_64EF_4CA9_9C9C_1E572976D134_.wvu.Rows" sId="1"/>
    <undo index="65535" exp="area" ref3D="1" dr="$A$394:$XFD$398" dn="Z_1CA6CCC9_64EF_4CA9_9C9C_1E572976D134_.wvu.Rows" sId="1"/>
    <undo index="65535" exp="area" ref3D="1" dr="$A$373:$XFD$391" dn="Z_1CA6CCC9_64EF_4CA9_9C9C_1E572976D134_.wvu.Rows" sId="1"/>
    <undo index="65535" exp="area" ref3D="1" dr="$A$318:$XFD$371" dn="Z_1CA6CCC9_64EF_4CA9_9C9C_1E572976D134_.wvu.Rows" sId="1"/>
    <undo index="65535" exp="area" ref3D="1" dr="$A$235:$XFD$316" dn="Z_1CA6CCC9_64EF_4CA9_9C9C_1E572976D134_.wvu.Rows" sId="1"/>
    <undo index="65535" exp="area" ref3D="1" dr="$A$215:$XFD$233" dn="Z_1CA6CCC9_64EF_4CA9_9C9C_1E572976D134_.wvu.Rows" sId="1"/>
    <undo index="65535" exp="area" ref3D="1" dr="$A$192:$XFD$212" dn="Z_1CA6CCC9_64EF_4CA9_9C9C_1E572976D134_.wvu.Rows" sId="1"/>
    <undo index="65535" exp="area" ref3D="1" dr="$A$140:$XFD$190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40983.8-40983.8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8" sId="1" ref="A147:XFD147" action="deleteRow">
    <undo index="65535" exp="area" ref3D="1" dr="$A$720:$XFD$722" dn="Z_1CA6CCC9_64EF_4CA9_9C9C_1E572976D134_.wvu.Rows" sId="1"/>
    <undo index="65535" exp="area" ref3D="1" dr="$A$715:$XFD$717" dn="Z_1CA6CCC9_64EF_4CA9_9C9C_1E572976D134_.wvu.Rows" sId="1"/>
    <undo index="65535" exp="area" ref3D="1" dr="$A$694:$XFD$712" dn="Z_1CA6CCC9_64EF_4CA9_9C9C_1E572976D134_.wvu.Rows" sId="1"/>
    <undo index="65535" exp="area" ref3D="1" dr="$A$679:$XFD$692" dn="Z_1CA6CCC9_64EF_4CA9_9C9C_1E572976D134_.wvu.Rows" sId="1"/>
    <undo index="65535" exp="area" ref3D="1" dr="$A$669:$XFD$677" dn="Z_1CA6CCC9_64EF_4CA9_9C9C_1E572976D134_.wvu.Rows" sId="1"/>
    <undo index="65535" exp="area" ref3D="1" dr="$A$637:$XFD$666" dn="Z_1CA6CCC9_64EF_4CA9_9C9C_1E572976D134_.wvu.Rows" sId="1"/>
    <undo index="65535" exp="area" ref3D="1" dr="$A$616:$XFD$635" dn="Z_1CA6CCC9_64EF_4CA9_9C9C_1E572976D134_.wvu.Rows" sId="1"/>
    <undo index="65535" exp="area" ref3D="1" dr="$A$612:$XFD$614" dn="Z_1CA6CCC9_64EF_4CA9_9C9C_1E572976D134_.wvu.Rows" sId="1"/>
    <undo index="65535" exp="area" ref3D="1" dr="$A$588:$XFD$609" dn="Z_1CA6CCC9_64EF_4CA9_9C9C_1E572976D134_.wvu.Rows" sId="1"/>
    <undo index="65535" exp="area" ref3D="1" dr="$A$571:$XFD$586" dn="Z_1CA6CCC9_64EF_4CA9_9C9C_1E572976D134_.wvu.Rows" sId="1"/>
    <undo index="65535" exp="area" ref3D="1" dr="$A$524:$XFD$568" dn="Z_1CA6CCC9_64EF_4CA9_9C9C_1E572976D134_.wvu.Rows" sId="1"/>
    <undo index="65535" exp="area" ref3D="1" dr="$A$506:$XFD$522" dn="Z_1CA6CCC9_64EF_4CA9_9C9C_1E572976D134_.wvu.Rows" sId="1"/>
    <undo index="65535" exp="area" ref3D="1" dr="$A$490:$XFD$504" dn="Z_1CA6CCC9_64EF_4CA9_9C9C_1E572976D134_.wvu.Rows" sId="1"/>
    <undo index="65535" exp="area" ref3D="1" dr="$A$420:$XFD$488" dn="Z_1CA6CCC9_64EF_4CA9_9C9C_1E572976D134_.wvu.Rows" sId="1"/>
    <undo index="65535" exp="area" ref3D="1" dr="$A$400:$XFD$418" dn="Z_1CA6CCC9_64EF_4CA9_9C9C_1E572976D134_.wvu.Rows" sId="1"/>
    <undo index="65535" exp="area" ref3D="1" dr="$A$393:$XFD$397" dn="Z_1CA6CCC9_64EF_4CA9_9C9C_1E572976D134_.wvu.Rows" sId="1"/>
    <undo index="65535" exp="area" ref3D="1" dr="$A$372:$XFD$390" dn="Z_1CA6CCC9_64EF_4CA9_9C9C_1E572976D134_.wvu.Rows" sId="1"/>
    <undo index="65535" exp="area" ref3D="1" dr="$A$317:$XFD$370" dn="Z_1CA6CCC9_64EF_4CA9_9C9C_1E572976D134_.wvu.Rows" sId="1"/>
    <undo index="65535" exp="area" ref3D="1" dr="$A$234:$XFD$315" dn="Z_1CA6CCC9_64EF_4CA9_9C9C_1E572976D134_.wvu.Rows" sId="1"/>
    <undo index="65535" exp="area" ref3D="1" dr="$A$214:$XFD$232" dn="Z_1CA6CCC9_64EF_4CA9_9C9C_1E572976D134_.wvu.Rows" sId="1"/>
    <undo index="65535" exp="area" ref3D="1" dr="$A$191:$XFD$211" dn="Z_1CA6CCC9_64EF_4CA9_9C9C_1E572976D134_.wvu.Rows" sId="1"/>
    <undo index="65535" exp="area" ref3D="1" dr="$A$140:$XFD$189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9Д114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9" sId="1" ref="A147:XFD147" action="deleteRow">
    <undo index="65535" exp="area" ref3D="1" dr="$A$719:$XFD$721" dn="Z_1CA6CCC9_64EF_4CA9_9C9C_1E572976D134_.wvu.Rows" sId="1"/>
    <undo index="65535" exp="area" ref3D="1" dr="$A$714:$XFD$716" dn="Z_1CA6CCC9_64EF_4CA9_9C9C_1E572976D134_.wvu.Rows" sId="1"/>
    <undo index="65535" exp="area" ref3D="1" dr="$A$693:$XFD$711" dn="Z_1CA6CCC9_64EF_4CA9_9C9C_1E572976D134_.wvu.Rows" sId="1"/>
    <undo index="65535" exp="area" ref3D="1" dr="$A$678:$XFD$691" dn="Z_1CA6CCC9_64EF_4CA9_9C9C_1E572976D134_.wvu.Rows" sId="1"/>
    <undo index="65535" exp="area" ref3D="1" dr="$A$668:$XFD$676" dn="Z_1CA6CCC9_64EF_4CA9_9C9C_1E572976D134_.wvu.Rows" sId="1"/>
    <undo index="65535" exp="area" ref3D="1" dr="$A$636:$XFD$665" dn="Z_1CA6CCC9_64EF_4CA9_9C9C_1E572976D134_.wvu.Rows" sId="1"/>
    <undo index="65535" exp="area" ref3D="1" dr="$A$615:$XFD$634" dn="Z_1CA6CCC9_64EF_4CA9_9C9C_1E572976D134_.wvu.Rows" sId="1"/>
    <undo index="65535" exp="area" ref3D="1" dr="$A$611:$XFD$613" dn="Z_1CA6CCC9_64EF_4CA9_9C9C_1E572976D134_.wvu.Rows" sId="1"/>
    <undo index="65535" exp="area" ref3D="1" dr="$A$587:$XFD$608" dn="Z_1CA6CCC9_64EF_4CA9_9C9C_1E572976D134_.wvu.Rows" sId="1"/>
    <undo index="65535" exp="area" ref3D="1" dr="$A$570:$XFD$585" dn="Z_1CA6CCC9_64EF_4CA9_9C9C_1E572976D134_.wvu.Rows" sId="1"/>
    <undo index="65535" exp="area" ref3D="1" dr="$A$523:$XFD$567" dn="Z_1CA6CCC9_64EF_4CA9_9C9C_1E572976D134_.wvu.Rows" sId="1"/>
    <undo index="65535" exp="area" ref3D="1" dr="$A$505:$XFD$521" dn="Z_1CA6CCC9_64EF_4CA9_9C9C_1E572976D134_.wvu.Rows" sId="1"/>
    <undo index="65535" exp="area" ref3D="1" dr="$A$489:$XFD$503" dn="Z_1CA6CCC9_64EF_4CA9_9C9C_1E572976D134_.wvu.Rows" sId="1"/>
    <undo index="65535" exp="area" ref3D="1" dr="$A$419:$XFD$487" dn="Z_1CA6CCC9_64EF_4CA9_9C9C_1E572976D134_.wvu.Rows" sId="1"/>
    <undo index="65535" exp="area" ref3D="1" dr="$A$399:$XFD$417" dn="Z_1CA6CCC9_64EF_4CA9_9C9C_1E572976D134_.wvu.Rows" sId="1"/>
    <undo index="65535" exp="area" ref3D="1" dr="$A$392:$XFD$396" dn="Z_1CA6CCC9_64EF_4CA9_9C9C_1E572976D134_.wvu.Rows" sId="1"/>
    <undo index="65535" exp="area" ref3D="1" dr="$A$371:$XFD$389" dn="Z_1CA6CCC9_64EF_4CA9_9C9C_1E572976D134_.wvu.Rows" sId="1"/>
    <undo index="65535" exp="area" ref3D="1" dr="$A$316:$XFD$369" dn="Z_1CA6CCC9_64EF_4CA9_9C9C_1E572976D134_.wvu.Rows" sId="1"/>
    <undo index="65535" exp="area" ref3D="1" dr="$A$233:$XFD$314" dn="Z_1CA6CCC9_64EF_4CA9_9C9C_1E572976D134_.wvu.Rows" sId="1"/>
    <undo index="65535" exp="area" ref3D="1" dr="$A$213:$XFD$231" dn="Z_1CA6CCC9_64EF_4CA9_9C9C_1E572976D134_.wvu.Rows" sId="1"/>
    <undo index="65535" exp="area" ref3D="1" dr="$A$190:$XFD$210" dn="Z_1CA6CCC9_64EF_4CA9_9C9C_1E572976D134_.wvu.Rows" sId="1"/>
    <undo index="65535" exp="area" ref3D="1" dr="$A$140:$XFD$188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9Д114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32459.7-32459.7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0" sId="1" ref="A147:XFD147" action="deleteRow">
    <undo index="65535" exp="area" ref3D="1" dr="$A$718:$XFD$720" dn="Z_1CA6CCC9_64EF_4CA9_9C9C_1E572976D134_.wvu.Rows" sId="1"/>
    <undo index="65535" exp="area" ref3D="1" dr="$A$713:$XFD$715" dn="Z_1CA6CCC9_64EF_4CA9_9C9C_1E572976D134_.wvu.Rows" sId="1"/>
    <undo index="65535" exp="area" ref3D="1" dr="$A$692:$XFD$710" dn="Z_1CA6CCC9_64EF_4CA9_9C9C_1E572976D134_.wvu.Rows" sId="1"/>
    <undo index="65535" exp="area" ref3D="1" dr="$A$677:$XFD$690" dn="Z_1CA6CCC9_64EF_4CA9_9C9C_1E572976D134_.wvu.Rows" sId="1"/>
    <undo index="65535" exp="area" ref3D="1" dr="$A$667:$XFD$675" dn="Z_1CA6CCC9_64EF_4CA9_9C9C_1E572976D134_.wvu.Rows" sId="1"/>
    <undo index="65535" exp="area" ref3D="1" dr="$A$635:$XFD$664" dn="Z_1CA6CCC9_64EF_4CA9_9C9C_1E572976D134_.wvu.Rows" sId="1"/>
    <undo index="65535" exp="area" ref3D="1" dr="$A$614:$XFD$633" dn="Z_1CA6CCC9_64EF_4CA9_9C9C_1E572976D134_.wvu.Rows" sId="1"/>
    <undo index="65535" exp="area" ref3D="1" dr="$A$610:$XFD$612" dn="Z_1CA6CCC9_64EF_4CA9_9C9C_1E572976D134_.wvu.Rows" sId="1"/>
    <undo index="65535" exp="area" ref3D="1" dr="$A$586:$XFD$607" dn="Z_1CA6CCC9_64EF_4CA9_9C9C_1E572976D134_.wvu.Rows" sId="1"/>
    <undo index="65535" exp="area" ref3D="1" dr="$A$569:$XFD$584" dn="Z_1CA6CCC9_64EF_4CA9_9C9C_1E572976D134_.wvu.Rows" sId="1"/>
    <undo index="65535" exp="area" ref3D="1" dr="$A$522:$XFD$566" dn="Z_1CA6CCC9_64EF_4CA9_9C9C_1E572976D134_.wvu.Rows" sId="1"/>
    <undo index="65535" exp="area" ref3D="1" dr="$A$504:$XFD$520" dn="Z_1CA6CCC9_64EF_4CA9_9C9C_1E572976D134_.wvu.Rows" sId="1"/>
    <undo index="65535" exp="area" ref3D="1" dr="$A$488:$XFD$502" dn="Z_1CA6CCC9_64EF_4CA9_9C9C_1E572976D134_.wvu.Rows" sId="1"/>
    <undo index="65535" exp="area" ref3D="1" dr="$A$418:$XFD$486" dn="Z_1CA6CCC9_64EF_4CA9_9C9C_1E572976D134_.wvu.Rows" sId="1"/>
    <undo index="65535" exp="area" ref3D="1" dr="$A$398:$XFD$416" dn="Z_1CA6CCC9_64EF_4CA9_9C9C_1E572976D134_.wvu.Rows" sId="1"/>
    <undo index="65535" exp="area" ref3D="1" dr="$A$391:$XFD$395" dn="Z_1CA6CCC9_64EF_4CA9_9C9C_1E572976D134_.wvu.Rows" sId="1"/>
    <undo index="65535" exp="area" ref3D="1" dr="$A$370:$XFD$388" dn="Z_1CA6CCC9_64EF_4CA9_9C9C_1E572976D134_.wvu.Rows" sId="1"/>
    <undo index="65535" exp="area" ref3D="1" dr="$A$315:$XFD$368" dn="Z_1CA6CCC9_64EF_4CA9_9C9C_1E572976D134_.wvu.Rows" sId="1"/>
    <undo index="65535" exp="area" ref3D="1" dr="$A$232:$XFD$313" dn="Z_1CA6CCC9_64EF_4CA9_9C9C_1E572976D134_.wvu.Rows" sId="1"/>
    <undo index="65535" exp="area" ref3D="1" dr="$A$212:$XFD$230" dn="Z_1CA6CCC9_64EF_4CA9_9C9C_1E572976D134_.wvu.Rows" sId="1"/>
    <undo index="65535" exp="area" ref3D="1" dr="$A$189:$XFD$209" dn="Z_1CA6CCC9_64EF_4CA9_9C9C_1E572976D134_.wvu.Rows" sId="1"/>
    <undo index="65535" exp="area" ref3D="1" dr="$A$140:$XFD$187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9Д115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1" sId="1" ref="A147:XFD147" action="deleteRow">
    <undo index="65535" exp="area" ref3D="1" dr="$A$717:$XFD$719" dn="Z_1CA6CCC9_64EF_4CA9_9C9C_1E572976D134_.wvu.Rows" sId="1"/>
    <undo index="65535" exp="area" ref3D="1" dr="$A$712:$XFD$714" dn="Z_1CA6CCC9_64EF_4CA9_9C9C_1E572976D134_.wvu.Rows" sId="1"/>
    <undo index="65535" exp="area" ref3D="1" dr="$A$691:$XFD$709" dn="Z_1CA6CCC9_64EF_4CA9_9C9C_1E572976D134_.wvu.Rows" sId="1"/>
    <undo index="65535" exp="area" ref3D="1" dr="$A$676:$XFD$689" dn="Z_1CA6CCC9_64EF_4CA9_9C9C_1E572976D134_.wvu.Rows" sId="1"/>
    <undo index="65535" exp="area" ref3D="1" dr="$A$666:$XFD$674" dn="Z_1CA6CCC9_64EF_4CA9_9C9C_1E572976D134_.wvu.Rows" sId="1"/>
    <undo index="65535" exp="area" ref3D="1" dr="$A$634:$XFD$663" dn="Z_1CA6CCC9_64EF_4CA9_9C9C_1E572976D134_.wvu.Rows" sId="1"/>
    <undo index="65535" exp="area" ref3D="1" dr="$A$613:$XFD$632" dn="Z_1CA6CCC9_64EF_4CA9_9C9C_1E572976D134_.wvu.Rows" sId="1"/>
    <undo index="65535" exp="area" ref3D="1" dr="$A$609:$XFD$611" dn="Z_1CA6CCC9_64EF_4CA9_9C9C_1E572976D134_.wvu.Rows" sId="1"/>
    <undo index="65535" exp="area" ref3D="1" dr="$A$585:$XFD$606" dn="Z_1CA6CCC9_64EF_4CA9_9C9C_1E572976D134_.wvu.Rows" sId="1"/>
    <undo index="65535" exp="area" ref3D="1" dr="$A$568:$XFD$583" dn="Z_1CA6CCC9_64EF_4CA9_9C9C_1E572976D134_.wvu.Rows" sId="1"/>
    <undo index="65535" exp="area" ref3D="1" dr="$A$521:$XFD$565" dn="Z_1CA6CCC9_64EF_4CA9_9C9C_1E572976D134_.wvu.Rows" sId="1"/>
    <undo index="65535" exp="area" ref3D="1" dr="$A$503:$XFD$519" dn="Z_1CA6CCC9_64EF_4CA9_9C9C_1E572976D134_.wvu.Rows" sId="1"/>
    <undo index="65535" exp="area" ref3D="1" dr="$A$487:$XFD$501" dn="Z_1CA6CCC9_64EF_4CA9_9C9C_1E572976D134_.wvu.Rows" sId="1"/>
    <undo index="65535" exp="area" ref3D="1" dr="$A$417:$XFD$485" dn="Z_1CA6CCC9_64EF_4CA9_9C9C_1E572976D134_.wvu.Rows" sId="1"/>
    <undo index="65535" exp="area" ref3D="1" dr="$A$397:$XFD$415" dn="Z_1CA6CCC9_64EF_4CA9_9C9C_1E572976D134_.wvu.Rows" sId="1"/>
    <undo index="65535" exp="area" ref3D="1" dr="$A$390:$XFD$394" dn="Z_1CA6CCC9_64EF_4CA9_9C9C_1E572976D134_.wvu.Rows" sId="1"/>
    <undo index="65535" exp="area" ref3D="1" dr="$A$369:$XFD$387" dn="Z_1CA6CCC9_64EF_4CA9_9C9C_1E572976D134_.wvu.Rows" sId="1"/>
    <undo index="65535" exp="area" ref3D="1" dr="$A$314:$XFD$367" dn="Z_1CA6CCC9_64EF_4CA9_9C9C_1E572976D134_.wvu.Rows" sId="1"/>
    <undo index="65535" exp="area" ref3D="1" dr="$A$231:$XFD$312" dn="Z_1CA6CCC9_64EF_4CA9_9C9C_1E572976D134_.wvu.Rows" sId="1"/>
    <undo index="65535" exp="area" ref3D="1" dr="$A$211:$XFD$229" dn="Z_1CA6CCC9_64EF_4CA9_9C9C_1E572976D134_.wvu.Rows" sId="1"/>
    <undo index="65535" exp="area" ref3D="1" dr="$A$188:$XFD$208" dn="Z_1CA6CCC9_64EF_4CA9_9C9C_1E572976D134_.wvu.Rows" sId="1"/>
    <undo index="65535" exp="area" ref3D="1" dr="$A$140:$XFD$186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9Д115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78226.7-78226.7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2" sId="1" ref="A147:XFD147" action="deleteRow">
    <undo index="65535" exp="area" ref3D="1" dr="$A$716:$XFD$718" dn="Z_1CA6CCC9_64EF_4CA9_9C9C_1E572976D134_.wvu.Rows" sId="1"/>
    <undo index="65535" exp="area" ref3D="1" dr="$A$711:$XFD$713" dn="Z_1CA6CCC9_64EF_4CA9_9C9C_1E572976D134_.wvu.Rows" sId="1"/>
    <undo index="65535" exp="area" ref3D="1" dr="$A$690:$XFD$708" dn="Z_1CA6CCC9_64EF_4CA9_9C9C_1E572976D134_.wvu.Rows" sId="1"/>
    <undo index="65535" exp="area" ref3D="1" dr="$A$675:$XFD$688" dn="Z_1CA6CCC9_64EF_4CA9_9C9C_1E572976D134_.wvu.Rows" sId="1"/>
    <undo index="65535" exp="area" ref3D="1" dr="$A$665:$XFD$673" dn="Z_1CA6CCC9_64EF_4CA9_9C9C_1E572976D134_.wvu.Rows" sId="1"/>
    <undo index="65535" exp="area" ref3D="1" dr="$A$633:$XFD$662" dn="Z_1CA6CCC9_64EF_4CA9_9C9C_1E572976D134_.wvu.Rows" sId="1"/>
    <undo index="65535" exp="area" ref3D="1" dr="$A$612:$XFD$631" dn="Z_1CA6CCC9_64EF_4CA9_9C9C_1E572976D134_.wvu.Rows" sId="1"/>
    <undo index="65535" exp="area" ref3D="1" dr="$A$608:$XFD$610" dn="Z_1CA6CCC9_64EF_4CA9_9C9C_1E572976D134_.wvu.Rows" sId="1"/>
    <undo index="65535" exp="area" ref3D="1" dr="$A$584:$XFD$605" dn="Z_1CA6CCC9_64EF_4CA9_9C9C_1E572976D134_.wvu.Rows" sId="1"/>
    <undo index="65535" exp="area" ref3D="1" dr="$A$567:$XFD$582" dn="Z_1CA6CCC9_64EF_4CA9_9C9C_1E572976D134_.wvu.Rows" sId="1"/>
    <undo index="65535" exp="area" ref3D="1" dr="$A$520:$XFD$564" dn="Z_1CA6CCC9_64EF_4CA9_9C9C_1E572976D134_.wvu.Rows" sId="1"/>
    <undo index="65535" exp="area" ref3D="1" dr="$A$502:$XFD$518" dn="Z_1CA6CCC9_64EF_4CA9_9C9C_1E572976D134_.wvu.Rows" sId="1"/>
    <undo index="65535" exp="area" ref3D="1" dr="$A$486:$XFD$500" dn="Z_1CA6CCC9_64EF_4CA9_9C9C_1E572976D134_.wvu.Rows" sId="1"/>
    <undo index="65535" exp="area" ref3D="1" dr="$A$416:$XFD$484" dn="Z_1CA6CCC9_64EF_4CA9_9C9C_1E572976D134_.wvu.Rows" sId="1"/>
    <undo index="65535" exp="area" ref3D="1" dr="$A$396:$XFD$414" dn="Z_1CA6CCC9_64EF_4CA9_9C9C_1E572976D134_.wvu.Rows" sId="1"/>
    <undo index="65535" exp="area" ref3D="1" dr="$A$389:$XFD$393" dn="Z_1CA6CCC9_64EF_4CA9_9C9C_1E572976D134_.wvu.Rows" sId="1"/>
    <undo index="65535" exp="area" ref3D="1" dr="$A$368:$XFD$386" dn="Z_1CA6CCC9_64EF_4CA9_9C9C_1E572976D134_.wvu.Rows" sId="1"/>
    <undo index="65535" exp="area" ref3D="1" dr="$A$313:$XFD$366" dn="Z_1CA6CCC9_64EF_4CA9_9C9C_1E572976D134_.wvu.Rows" sId="1"/>
    <undo index="65535" exp="area" ref3D="1" dr="$A$230:$XFD$311" dn="Z_1CA6CCC9_64EF_4CA9_9C9C_1E572976D134_.wvu.Rows" sId="1"/>
    <undo index="65535" exp="area" ref3D="1" dr="$A$210:$XFD$228" dn="Z_1CA6CCC9_64EF_4CA9_9C9C_1E572976D134_.wvu.Rows" sId="1"/>
    <undo index="65535" exp="area" ref3D="1" dr="$A$187:$XFD$207" dn="Z_1CA6CCC9_64EF_4CA9_9C9C_1E572976D134_.wvu.Rows" sId="1"/>
    <undo index="65535" exp="area" ref3D="1" dr="$A$140:$XFD$185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9Д116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3" sId="1" ref="A147:XFD147" action="deleteRow">
    <undo index="65535" exp="area" ref3D="1" dr="$A$715:$XFD$717" dn="Z_1CA6CCC9_64EF_4CA9_9C9C_1E572976D134_.wvu.Rows" sId="1"/>
    <undo index="65535" exp="area" ref3D="1" dr="$A$710:$XFD$712" dn="Z_1CA6CCC9_64EF_4CA9_9C9C_1E572976D134_.wvu.Rows" sId="1"/>
    <undo index="65535" exp="area" ref3D="1" dr="$A$689:$XFD$707" dn="Z_1CA6CCC9_64EF_4CA9_9C9C_1E572976D134_.wvu.Rows" sId="1"/>
    <undo index="65535" exp="area" ref3D="1" dr="$A$674:$XFD$687" dn="Z_1CA6CCC9_64EF_4CA9_9C9C_1E572976D134_.wvu.Rows" sId="1"/>
    <undo index="65535" exp="area" ref3D="1" dr="$A$664:$XFD$672" dn="Z_1CA6CCC9_64EF_4CA9_9C9C_1E572976D134_.wvu.Rows" sId="1"/>
    <undo index="65535" exp="area" ref3D="1" dr="$A$632:$XFD$661" dn="Z_1CA6CCC9_64EF_4CA9_9C9C_1E572976D134_.wvu.Rows" sId="1"/>
    <undo index="65535" exp="area" ref3D="1" dr="$A$611:$XFD$630" dn="Z_1CA6CCC9_64EF_4CA9_9C9C_1E572976D134_.wvu.Rows" sId="1"/>
    <undo index="65535" exp="area" ref3D="1" dr="$A$607:$XFD$609" dn="Z_1CA6CCC9_64EF_4CA9_9C9C_1E572976D134_.wvu.Rows" sId="1"/>
    <undo index="65535" exp="area" ref3D="1" dr="$A$583:$XFD$604" dn="Z_1CA6CCC9_64EF_4CA9_9C9C_1E572976D134_.wvu.Rows" sId="1"/>
    <undo index="65535" exp="area" ref3D="1" dr="$A$566:$XFD$581" dn="Z_1CA6CCC9_64EF_4CA9_9C9C_1E572976D134_.wvu.Rows" sId="1"/>
    <undo index="65535" exp="area" ref3D="1" dr="$A$519:$XFD$563" dn="Z_1CA6CCC9_64EF_4CA9_9C9C_1E572976D134_.wvu.Rows" sId="1"/>
    <undo index="65535" exp="area" ref3D="1" dr="$A$501:$XFD$517" dn="Z_1CA6CCC9_64EF_4CA9_9C9C_1E572976D134_.wvu.Rows" sId="1"/>
    <undo index="65535" exp="area" ref3D="1" dr="$A$485:$XFD$499" dn="Z_1CA6CCC9_64EF_4CA9_9C9C_1E572976D134_.wvu.Rows" sId="1"/>
    <undo index="65535" exp="area" ref3D="1" dr="$A$415:$XFD$483" dn="Z_1CA6CCC9_64EF_4CA9_9C9C_1E572976D134_.wvu.Rows" sId="1"/>
    <undo index="65535" exp="area" ref3D="1" dr="$A$395:$XFD$413" dn="Z_1CA6CCC9_64EF_4CA9_9C9C_1E572976D134_.wvu.Rows" sId="1"/>
    <undo index="65535" exp="area" ref3D="1" dr="$A$388:$XFD$392" dn="Z_1CA6CCC9_64EF_4CA9_9C9C_1E572976D134_.wvu.Rows" sId="1"/>
    <undo index="65535" exp="area" ref3D="1" dr="$A$367:$XFD$385" dn="Z_1CA6CCC9_64EF_4CA9_9C9C_1E572976D134_.wvu.Rows" sId="1"/>
    <undo index="65535" exp="area" ref3D="1" dr="$A$312:$XFD$365" dn="Z_1CA6CCC9_64EF_4CA9_9C9C_1E572976D134_.wvu.Rows" sId="1"/>
    <undo index="65535" exp="area" ref3D="1" dr="$A$229:$XFD$310" dn="Z_1CA6CCC9_64EF_4CA9_9C9C_1E572976D134_.wvu.Rows" sId="1"/>
    <undo index="65535" exp="area" ref3D="1" dr="$A$209:$XFD$227" dn="Z_1CA6CCC9_64EF_4CA9_9C9C_1E572976D134_.wvu.Rows" sId="1"/>
    <undo index="65535" exp="area" ref3D="1" dr="$A$186:$XFD$206" dn="Z_1CA6CCC9_64EF_4CA9_9C9C_1E572976D134_.wvu.Rows" sId="1"/>
    <undo index="65535" exp="area" ref3D="1" dr="$A$140:$XFD$184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9Д116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79523.4-79523.4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4" sId="1" ref="A147:XFD147" action="deleteRow">
    <undo index="65535" exp="area" ref3D="1" dr="$A$714:$XFD$716" dn="Z_1CA6CCC9_64EF_4CA9_9C9C_1E572976D134_.wvu.Rows" sId="1"/>
    <undo index="65535" exp="area" ref3D="1" dr="$A$709:$XFD$711" dn="Z_1CA6CCC9_64EF_4CA9_9C9C_1E572976D134_.wvu.Rows" sId="1"/>
    <undo index="65535" exp="area" ref3D="1" dr="$A$688:$XFD$706" dn="Z_1CA6CCC9_64EF_4CA9_9C9C_1E572976D134_.wvu.Rows" sId="1"/>
    <undo index="65535" exp="area" ref3D="1" dr="$A$673:$XFD$686" dn="Z_1CA6CCC9_64EF_4CA9_9C9C_1E572976D134_.wvu.Rows" sId="1"/>
    <undo index="65535" exp="area" ref3D="1" dr="$A$663:$XFD$671" dn="Z_1CA6CCC9_64EF_4CA9_9C9C_1E572976D134_.wvu.Rows" sId="1"/>
    <undo index="65535" exp="area" ref3D="1" dr="$A$631:$XFD$660" dn="Z_1CA6CCC9_64EF_4CA9_9C9C_1E572976D134_.wvu.Rows" sId="1"/>
    <undo index="65535" exp="area" ref3D="1" dr="$A$610:$XFD$629" dn="Z_1CA6CCC9_64EF_4CA9_9C9C_1E572976D134_.wvu.Rows" sId="1"/>
    <undo index="65535" exp="area" ref3D="1" dr="$A$606:$XFD$608" dn="Z_1CA6CCC9_64EF_4CA9_9C9C_1E572976D134_.wvu.Rows" sId="1"/>
    <undo index="65535" exp="area" ref3D="1" dr="$A$582:$XFD$603" dn="Z_1CA6CCC9_64EF_4CA9_9C9C_1E572976D134_.wvu.Rows" sId="1"/>
    <undo index="65535" exp="area" ref3D="1" dr="$A$565:$XFD$580" dn="Z_1CA6CCC9_64EF_4CA9_9C9C_1E572976D134_.wvu.Rows" sId="1"/>
    <undo index="65535" exp="area" ref3D="1" dr="$A$518:$XFD$562" dn="Z_1CA6CCC9_64EF_4CA9_9C9C_1E572976D134_.wvu.Rows" sId="1"/>
    <undo index="65535" exp="area" ref3D="1" dr="$A$500:$XFD$516" dn="Z_1CA6CCC9_64EF_4CA9_9C9C_1E572976D134_.wvu.Rows" sId="1"/>
    <undo index="65535" exp="area" ref3D="1" dr="$A$484:$XFD$498" dn="Z_1CA6CCC9_64EF_4CA9_9C9C_1E572976D134_.wvu.Rows" sId="1"/>
    <undo index="65535" exp="area" ref3D="1" dr="$A$414:$XFD$482" dn="Z_1CA6CCC9_64EF_4CA9_9C9C_1E572976D134_.wvu.Rows" sId="1"/>
    <undo index="65535" exp="area" ref3D="1" dr="$A$394:$XFD$412" dn="Z_1CA6CCC9_64EF_4CA9_9C9C_1E572976D134_.wvu.Rows" sId="1"/>
    <undo index="65535" exp="area" ref3D="1" dr="$A$387:$XFD$391" dn="Z_1CA6CCC9_64EF_4CA9_9C9C_1E572976D134_.wvu.Rows" sId="1"/>
    <undo index="65535" exp="area" ref3D="1" dr="$A$366:$XFD$384" dn="Z_1CA6CCC9_64EF_4CA9_9C9C_1E572976D134_.wvu.Rows" sId="1"/>
    <undo index="65535" exp="area" ref3D="1" dr="$A$311:$XFD$364" dn="Z_1CA6CCC9_64EF_4CA9_9C9C_1E572976D134_.wvu.Rows" sId="1"/>
    <undo index="65535" exp="area" ref3D="1" dr="$A$228:$XFD$309" dn="Z_1CA6CCC9_64EF_4CA9_9C9C_1E572976D134_.wvu.Rows" sId="1"/>
    <undo index="65535" exp="area" ref3D="1" dr="$A$208:$XFD$226" dn="Z_1CA6CCC9_64EF_4CA9_9C9C_1E572976D134_.wvu.Rows" sId="1"/>
    <undo index="65535" exp="area" ref3D="1" dr="$A$185:$XFD$205" dn="Z_1CA6CCC9_64EF_4CA9_9C9C_1E572976D134_.wvu.Rows" sId="1"/>
    <undo index="65535" exp="area" ref3D="1" dr="$A$140:$XFD$183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9Д117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5" sId="1" ref="A147:XFD147" action="deleteRow">
    <undo index="65535" exp="area" ref3D="1" dr="$A$713:$XFD$715" dn="Z_1CA6CCC9_64EF_4CA9_9C9C_1E572976D134_.wvu.Rows" sId="1"/>
    <undo index="65535" exp="area" ref3D="1" dr="$A$708:$XFD$710" dn="Z_1CA6CCC9_64EF_4CA9_9C9C_1E572976D134_.wvu.Rows" sId="1"/>
    <undo index="65535" exp="area" ref3D="1" dr="$A$687:$XFD$705" dn="Z_1CA6CCC9_64EF_4CA9_9C9C_1E572976D134_.wvu.Rows" sId="1"/>
    <undo index="65535" exp="area" ref3D="1" dr="$A$672:$XFD$685" dn="Z_1CA6CCC9_64EF_4CA9_9C9C_1E572976D134_.wvu.Rows" sId="1"/>
    <undo index="65535" exp="area" ref3D="1" dr="$A$662:$XFD$670" dn="Z_1CA6CCC9_64EF_4CA9_9C9C_1E572976D134_.wvu.Rows" sId="1"/>
    <undo index="65535" exp="area" ref3D="1" dr="$A$630:$XFD$659" dn="Z_1CA6CCC9_64EF_4CA9_9C9C_1E572976D134_.wvu.Rows" sId="1"/>
    <undo index="65535" exp="area" ref3D="1" dr="$A$609:$XFD$628" dn="Z_1CA6CCC9_64EF_4CA9_9C9C_1E572976D134_.wvu.Rows" sId="1"/>
    <undo index="65535" exp="area" ref3D="1" dr="$A$605:$XFD$607" dn="Z_1CA6CCC9_64EF_4CA9_9C9C_1E572976D134_.wvu.Rows" sId="1"/>
    <undo index="65535" exp="area" ref3D="1" dr="$A$581:$XFD$602" dn="Z_1CA6CCC9_64EF_4CA9_9C9C_1E572976D134_.wvu.Rows" sId="1"/>
    <undo index="65535" exp="area" ref3D="1" dr="$A$564:$XFD$579" dn="Z_1CA6CCC9_64EF_4CA9_9C9C_1E572976D134_.wvu.Rows" sId="1"/>
    <undo index="65535" exp="area" ref3D="1" dr="$A$517:$XFD$561" dn="Z_1CA6CCC9_64EF_4CA9_9C9C_1E572976D134_.wvu.Rows" sId="1"/>
    <undo index="65535" exp="area" ref3D="1" dr="$A$499:$XFD$515" dn="Z_1CA6CCC9_64EF_4CA9_9C9C_1E572976D134_.wvu.Rows" sId="1"/>
    <undo index="65535" exp="area" ref3D="1" dr="$A$483:$XFD$497" dn="Z_1CA6CCC9_64EF_4CA9_9C9C_1E572976D134_.wvu.Rows" sId="1"/>
    <undo index="65535" exp="area" ref3D="1" dr="$A$413:$XFD$481" dn="Z_1CA6CCC9_64EF_4CA9_9C9C_1E572976D134_.wvu.Rows" sId="1"/>
    <undo index="65535" exp="area" ref3D="1" dr="$A$393:$XFD$411" dn="Z_1CA6CCC9_64EF_4CA9_9C9C_1E572976D134_.wvu.Rows" sId="1"/>
    <undo index="65535" exp="area" ref3D="1" dr="$A$386:$XFD$390" dn="Z_1CA6CCC9_64EF_4CA9_9C9C_1E572976D134_.wvu.Rows" sId="1"/>
    <undo index="65535" exp="area" ref3D="1" dr="$A$365:$XFD$383" dn="Z_1CA6CCC9_64EF_4CA9_9C9C_1E572976D134_.wvu.Rows" sId="1"/>
    <undo index="65535" exp="area" ref3D="1" dr="$A$310:$XFD$363" dn="Z_1CA6CCC9_64EF_4CA9_9C9C_1E572976D134_.wvu.Rows" sId="1"/>
    <undo index="65535" exp="area" ref3D="1" dr="$A$227:$XFD$308" dn="Z_1CA6CCC9_64EF_4CA9_9C9C_1E572976D134_.wvu.Rows" sId="1"/>
    <undo index="65535" exp="area" ref3D="1" dr="$A$207:$XFD$225" dn="Z_1CA6CCC9_64EF_4CA9_9C9C_1E572976D134_.wvu.Rows" sId="1"/>
    <undo index="65535" exp="area" ref3D="1" dr="$A$184:$XFD$204" dn="Z_1CA6CCC9_64EF_4CA9_9C9C_1E572976D134_.wvu.Rows" sId="1"/>
    <undo index="65535" exp="area" ref3D="1" dr="$A$140:$XFD$182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9Д117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50559.8-50559.8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6" sId="1" ref="A147:XFD147" action="deleteRow">
    <undo index="65535" exp="area" ref3D="1" dr="$A$712:$XFD$714" dn="Z_1CA6CCC9_64EF_4CA9_9C9C_1E572976D134_.wvu.Rows" sId="1"/>
    <undo index="65535" exp="area" ref3D="1" dr="$A$707:$XFD$709" dn="Z_1CA6CCC9_64EF_4CA9_9C9C_1E572976D134_.wvu.Rows" sId="1"/>
    <undo index="65535" exp="area" ref3D="1" dr="$A$686:$XFD$704" dn="Z_1CA6CCC9_64EF_4CA9_9C9C_1E572976D134_.wvu.Rows" sId="1"/>
    <undo index="65535" exp="area" ref3D="1" dr="$A$671:$XFD$684" dn="Z_1CA6CCC9_64EF_4CA9_9C9C_1E572976D134_.wvu.Rows" sId="1"/>
    <undo index="65535" exp="area" ref3D="1" dr="$A$661:$XFD$669" dn="Z_1CA6CCC9_64EF_4CA9_9C9C_1E572976D134_.wvu.Rows" sId="1"/>
    <undo index="65535" exp="area" ref3D="1" dr="$A$629:$XFD$658" dn="Z_1CA6CCC9_64EF_4CA9_9C9C_1E572976D134_.wvu.Rows" sId="1"/>
    <undo index="65535" exp="area" ref3D="1" dr="$A$608:$XFD$627" dn="Z_1CA6CCC9_64EF_4CA9_9C9C_1E572976D134_.wvu.Rows" sId="1"/>
    <undo index="65535" exp="area" ref3D="1" dr="$A$604:$XFD$606" dn="Z_1CA6CCC9_64EF_4CA9_9C9C_1E572976D134_.wvu.Rows" sId="1"/>
    <undo index="65535" exp="area" ref3D="1" dr="$A$580:$XFD$601" dn="Z_1CA6CCC9_64EF_4CA9_9C9C_1E572976D134_.wvu.Rows" sId="1"/>
    <undo index="65535" exp="area" ref3D="1" dr="$A$563:$XFD$578" dn="Z_1CA6CCC9_64EF_4CA9_9C9C_1E572976D134_.wvu.Rows" sId="1"/>
    <undo index="65535" exp="area" ref3D="1" dr="$A$516:$XFD$560" dn="Z_1CA6CCC9_64EF_4CA9_9C9C_1E572976D134_.wvu.Rows" sId="1"/>
    <undo index="65535" exp="area" ref3D="1" dr="$A$498:$XFD$514" dn="Z_1CA6CCC9_64EF_4CA9_9C9C_1E572976D134_.wvu.Rows" sId="1"/>
    <undo index="65535" exp="area" ref3D="1" dr="$A$482:$XFD$496" dn="Z_1CA6CCC9_64EF_4CA9_9C9C_1E572976D134_.wvu.Rows" sId="1"/>
    <undo index="65535" exp="area" ref3D="1" dr="$A$412:$XFD$480" dn="Z_1CA6CCC9_64EF_4CA9_9C9C_1E572976D134_.wvu.Rows" sId="1"/>
    <undo index="65535" exp="area" ref3D="1" dr="$A$392:$XFD$410" dn="Z_1CA6CCC9_64EF_4CA9_9C9C_1E572976D134_.wvu.Rows" sId="1"/>
    <undo index="65535" exp="area" ref3D="1" dr="$A$385:$XFD$389" dn="Z_1CA6CCC9_64EF_4CA9_9C9C_1E572976D134_.wvu.Rows" sId="1"/>
    <undo index="65535" exp="area" ref3D="1" dr="$A$364:$XFD$382" dn="Z_1CA6CCC9_64EF_4CA9_9C9C_1E572976D134_.wvu.Rows" sId="1"/>
    <undo index="65535" exp="area" ref3D="1" dr="$A$309:$XFD$362" dn="Z_1CA6CCC9_64EF_4CA9_9C9C_1E572976D134_.wvu.Rows" sId="1"/>
    <undo index="65535" exp="area" ref3D="1" dr="$A$226:$XFD$307" dn="Z_1CA6CCC9_64EF_4CA9_9C9C_1E572976D134_.wvu.Rows" sId="1"/>
    <undo index="65535" exp="area" ref3D="1" dr="$A$206:$XFD$224" dn="Z_1CA6CCC9_64EF_4CA9_9C9C_1E572976D134_.wvu.Rows" sId="1"/>
    <undo index="65535" exp="area" ref3D="1" dr="$A$183:$XFD$203" dn="Z_1CA6CCC9_64EF_4CA9_9C9C_1E572976D134_.wvu.Rows" sId="1"/>
    <undo index="65535" exp="area" ref3D="1" dr="$A$140:$XFD$181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9Д118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7" sId="1" ref="A147:XFD147" action="deleteRow">
    <undo index="65535" exp="area" ref3D="1" dr="$A$711:$XFD$713" dn="Z_1CA6CCC9_64EF_4CA9_9C9C_1E572976D134_.wvu.Rows" sId="1"/>
    <undo index="65535" exp="area" ref3D="1" dr="$A$706:$XFD$708" dn="Z_1CA6CCC9_64EF_4CA9_9C9C_1E572976D134_.wvu.Rows" sId="1"/>
    <undo index="65535" exp="area" ref3D="1" dr="$A$685:$XFD$703" dn="Z_1CA6CCC9_64EF_4CA9_9C9C_1E572976D134_.wvu.Rows" sId="1"/>
    <undo index="65535" exp="area" ref3D="1" dr="$A$670:$XFD$683" dn="Z_1CA6CCC9_64EF_4CA9_9C9C_1E572976D134_.wvu.Rows" sId="1"/>
    <undo index="65535" exp="area" ref3D="1" dr="$A$660:$XFD$668" dn="Z_1CA6CCC9_64EF_4CA9_9C9C_1E572976D134_.wvu.Rows" sId="1"/>
    <undo index="65535" exp="area" ref3D="1" dr="$A$628:$XFD$657" dn="Z_1CA6CCC9_64EF_4CA9_9C9C_1E572976D134_.wvu.Rows" sId="1"/>
    <undo index="65535" exp="area" ref3D="1" dr="$A$607:$XFD$626" dn="Z_1CA6CCC9_64EF_4CA9_9C9C_1E572976D134_.wvu.Rows" sId="1"/>
    <undo index="65535" exp="area" ref3D="1" dr="$A$603:$XFD$605" dn="Z_1CA6CCC9_64EF_4CA9_9C9C_1E572976D134_.wvu.Rows" sId="1"/>
    <undo index="65535" exp="area" ref3D="1" dr="$A$579:$XFD$600" dn="Z_1CA6CCC9_64EF_4CA9_9C9C_1E572976D134_.wvu.Rows" sId="1"/>
    <undo index="65535" exp="area" ref3D="1" dr="$A$562:$XFD$577" dn="Z_1CA6CCC9_64EF_4CA9_9C9C_1E572976D134_.wvu.Rows" sId="1"/>
    <undo index="65535" exp="area" ref3D="1" dr="$A$515:$XFD$559" dn="Z_1CA6CCC9_64EF_4CA9_9C9C_1E572976D134_.wvu.Rows" sId="1"/>
    <undo index="65535" exp="area" ref3D="1" dr="$A$497:$XFD$513" dn="Z_1CA6CCC9_64EF_4CA9_9C9C_1E572976D134_.wvu.Rows" sId="1"/>
    <undo index="65535" exp="area" ref3D="1" dr="$A$481:$XFD$495" dn="Z_1CA6CCC9_64EF_4CA9_9C9C_1E572976D134_.wvu.Rows" sId="1"/>
    <undo index="65535" exp="area" ref3D="1" dr="$A$411:$XFD$479" dn="Z_1CA6CCC9_64EF_4CA9_9C9C_1E572976D134_.wvu.Rows" sId="1"/>
    <undo index="65535" exp="area" ref3D="1" dr="$A$391:$XFD$409" dn="Z_1CA6CCC9_64EF_4CA9_9C9C_1E572976D134_.wvu.Rows" sId="1"/>
    <undo index="65535" exp="area" ref3D="1" dr="$A$384:$XFD$388" dn="Z_1CA6CCC9_64EF_4CA9_9C9C_1E572976D134_.wvu.Rows" sId="1"/>
    <undo index="65535" exp="area" ref3D="1" dr="$A$363:$XFD$381" dn="Z_1CA6CCC9_64EF_4CA9_9C9C_1E572976D134_.wvu.Rows" sId="1"/>
    <undo index="65535" exp="area" ref3D="1" dr="$A$308:$XFD$361" dn="Z_1CA6CCC9_64EF_4CA9_9C9C_1E572976D134_.wvu.Rows" sId="1"/>
    <undo index="65535" exp="area" ref3D="1" dr="$A$225:$XFD$306" dn="Z_1CA6CCC9_64EF_4CA9_9C9C_1E572976D134_.wvu.Rows" sId="1"/>
    <undo index="65535" exp="area" ref3D="1" dr="$A$205:$XFD$223" dn="Z_1CA6CCC9_64EF_4CA9_9C9C_1E572976D134_.wvu.Rows" sId="1"/>
    <undo index="65535" exp="area" ref3D="1" dr="$A$182:$XFD$202" dn="Z_1CA6CCC9_64EF_4CA9_9C9C_1E572976D134_.wvu.Rows" sId="1"/>
    <undo index="65535" exp="area" ref3D="1" dr="$A$140:$XFD$180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9Д118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41690.1-41690.1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8" sId="1" ref="A147:XFD147" action="deleteRow">
    <undo index="65535" exp="area" ref3D="1" dr="$A$710:$XFD$712" dn="Z_1CA6CCC9_64EF_4CA9_9C9C_1E572976D134_.wvu.Rows" sId="1"/>
    <undo index="65535" exp="area" ref3D="1" dr="$A$705:$XFD$707" dn="Z_1CA6CCC9_64EF_4CA9_9C9C_1E572976D134_.wvu.Rows" sId="1"/>
    <undo index="65535" exp="area" ref3D="1" dr="$A$684:$XFD$702" dn="Z_1CA6CCC9_64EF_4CA9_9C9C_1E572976D134_.wvu.Rows" sId="1"/>
    <undo index="65535" exp="area" ref3D="1" dr="$A$669:$XFD$682" dn="Z_1CA6CCC9_64EF_4CA9_9C9C_1E572976D134_.wvu.Rows" sId="1"/>
    <undo index="65535" exp="area" ref3D="1" dr="$A$659:$XFD$667" dn="Z_1CA6CCC9_64EF_4CA9_9C9C_1E572976D134_.wvu.Rows" sId="1"/>
    <undo index="65535" exp="area" ref3D="1" dr="$A$627:$XFD$656" dn="Z_1CA6CCC9_64EF_4CA9_9C9C_1E572976D134_.wvu.Rows" sId="1"/>
    <undo index="65535" exp="area" ref3D="1" dr="$A$606:$XFD$625" dn="Z_1CA6CCC9_64EF_4CA9_9C9C_1E572976D134_.wvu.Rows" sId="1"/>
    <undo index="65535" exp="area" ref3D="1" dr="$A$602:$XFD$604" dn="Z_1CA6CCC9_64EF_4CA9_9C9C_1E572976D134_.wvu.Rows" sId="1"/>
    <undo index="65535" exp="area" ref3D="1" dr="$A$578:$XFD$599" dn="Z_1CA6CCC9_64EF_4CA9_9C9C_1E572976D134_.wvu.Rows" sId="1"/>
    <undo index="65535" exp="area" ref3D="1" dr="$A$561:$XFD$576" dn="Z_1CA6CCC9_64EF_4CA9_9C9C_1E572976D134_.wvu.Rows" sId="1"/>
    <undo index="65535" exp="area" ref3D="1" dr="$A$514:$XFD$558" dn="Z_1CA6CCC9_64EF_4CA9_9C9C_1E572976D134_.wvu.Rows" sId="1"/>
    <undo index="65535" exp="area" ref3D="1" dr="$A$496:$XFD$512" dn="Z_1CA6CCC9_64EF_4CA9_9C9C_1E572976D134_.wvu.Rows" sId="1"/>
    <undo index="65535" exp="area" ref3D="1" dr="$A$480:$XFD$494" dn="Z_1CA6CCC9_64EF_4CA9_9C9C_1E572976D134_.wvu.Rows" sId="1"/>
    <undo index="65535" exp="area" ref3D="1" dr="$A$410:$XFD$478" dn="Z_1CA6CCC9_64EF_4CA9_9C9C_1E572976D134_.wvu.Rows" sId="1"/>
    <undo index="65535" exp="area" ref3D="1" dr="$A$390:$XFD$408" dn="Z_1CA6CCC9_64EF_4CA9_9C9C_1E572976D134_.wvu.Rows" sId="1"/>
    <undo index="65535" exp="area" ref3D="1" dr="$A$383:$XFD$387" dn="Z_1CA6CCC9_64EF_4CA9_9C9C_1E572976D134_.wvu.Rows" sId="1"/>
    <undo index="65535" exp="area" ref3D="1" dr="$A$362:$XFD$380" dn="Z_1CA6CCC9_64EF_4CA9_9C9C_1E572976D134_.wvu.Rows" sId="1"/>
    <undo index="65535" exp="area" ref3D="1" dr="$A$307:$XFD$360" dn="Z_1CA6CCC9_64EF_4CA9_9C9C_1E572976D134_.wvu.Rows" sId="1"/>
    <undo index="65535" exp="area" ref3D="1" dr="$A$224:$XFD$305" dn="Z_1CA6CCC9_64EF_4CA9_9C9C_1E572976D134_.wvu.Rows" sId="1"/>
    <undo index="65535" exp="area" ref3D="1" dr="$A$204:$XFD$222" dn="Z_1CA6CCC9_64EF_4CA9_9C9C_1E572976D134_.wvu.Rows" sId="1"/>
    <undo index="65535" exp="area" ref3D="1" dr="$A$181:$XFD$201" dn="Z_1CA6CCC9_64EF_4CA9_9C9C_1E572976D134_.wvu.Rows" sId="1"/>
    <undo index="65535" exp="area" ref3D="1" dr="$A$140:$XFD$179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9Д11С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9" sId="1" ref="A147:XFD147" action="deleteRow">
    <undo index="65535" exp="area" ref3D="1" dr="$A$709:$XFD$711" dn="Z_1CA6CCC9_64EF_4CA9_9C9C_1E572976D134_.wvu.Rows" sId="1"/>
    <undo index="65535" exp="area" ref3D="1" dr="$A$704:$XFD$706" dn="Z_1CA6CCC9_64EF_4CA9_9C9C_1E572976D134_.wvu.Rows" sId="1"/>
    <undo index="65535" exp="area" ref3D="1" dr="$A$683:$XFD$701" dn="Z_1CA6CCC9_64EF_4CA9_9C9C_1E572976D134_.wvu.Rows" sId="1"/>
    <undo index="65535" exp="area" ref3D="1" dr="$A$668:$XFD$681" dn="Z_1CA6CCC9_64EF_4CA9_9C9C_1E572976D134_.wvu.Rows" sId="1"/>
    <undo index="65535" exp="area" ref3D="1" dr="$A$658:$XFD$666" dn="Z_1CA6CCC9_64EF_4CA9_9C9C_1E572976D134_.wvu.Rows" sId="1"/>
    <undo index="65535" exp="area" ref3D="1" dr="$A$626:$XFD$655" dn="Z_1CA6CCC9_64EF_4CA9_9C9C_1E572976D134_.wvu.Rows" sId="1"/>
    <undo index="65535" exp="area" ref3D="1" dr="$A$605:$XFD$624" dn="Z_1CA6CCC9_64EF_4CA9_9C9C_1E572976D134_.wvu.Rows" sId="1"/>
    <undo index="65535" exp="area" ref3D="1" dr="$A$601:$XFD$603" dn="Z_1CA6CCC9_64EF_4CA9_9C9C_1E572976D134_.wvu.Rows" sId="1"/>
    <undo index="65535" exp="area" ref3D="1" dr="$A$577:$XFD$598" dn="Z_1CA6CCC9_64EF_4CA9_9C9C_1E572976D134_.wvu.Rows" sId="1"/>
    <undo index="65535" exp="area" ref3D="1" dr="$A$560:$XFD$575" dn="Z_1CA6CCC9_64EF_4CA9_9C9C_1E572976D134_.wvu.Rows" sId="1"/>
    <undo index="65535" exp="area" ref3D="1" dr="$A$513:$XFD$557" dn="Z_1CA6CCC9_64EF_4CA9_9C9C_1E572976D134_.wvu.Rows" sId="1"/>
    <undo index="65535" exp="area" ref3D="1" dr="$A$495:$XFD$511" dn="Z_1CA6CCC9_64EF_4CA9_9C9C_1E572976D134_.wvu.Rows" sId="1"/>
    <undo index="65535" exp="area" ref3D="1" dr="$A$479:$XFD$493" dn="Z_1CA6CCC9_64EF_4CA9_9C9C_1E572976D134_.wvu.Rows" sId="1"/>
    <undo index="65535" exp="area" ref3D="1" dr="$A$409:$XFD$477" dn="Z_1CA6CCC9_64EF_4CA9_9C9C_1E572976D134_.wvu.Rows" sId="1"/>
    <undo index="65535" exp="area" ref3D="1" dr="$A$389:$XFD$407" dn="Z_1CA6CCC9_64EF_4CA9_9C9C_1E572976D134_.wvu.Rows" sId="1"/>
    <undo index="65535" exp="area" ref3D="1" dr="$A$382:$XFD$386" dn="Z_1CA6CCC9_64EF_4CA9_9C9C_1E572976D134_.wvu.Rows" sId="1"/>
    <undo index="65535" exp="area" ref3D="1" dr="$A$361:$XFD$379" dn="Z_1CA6CCC9_64EF_4CA9_9C9C_1E572976D134_.wvu.Rows" sId="1"/>
    <undo index="65535" exp="area" ref3D="1" dr="$A$306:$XFD$359" dn="Z_1CA6CCC9_64EF_4CA9_9C9C_1E572976D134_.wvu.Rows" sId="1"/>
    <undo index="65535" exp="area" ref3D="1" dr="$A$223:$XFD$304" dn="Z_1CA6CCC9_64EF_4CA9_9C9C_1E572976D134_.wvu.Rows" sId="1"/>
    <undo index="65535" exp="area" ref3D="1" dr="$A$203:$XFD$221" dn="Z_1CA6CCC9_64EF_4CA9_9C9C_1E572976D134_.wvu.Rows" sId="1"/>
    <undo index="65535" exp="area" ref3D="1" dr="$A$180:$XFD$200" dn="Z_1CA6CCC9_64EF_4CA9_9C9C_1E572976D134_.wvu.Rows" sId="1"/>
    <undo index="65535" exp="area" ref3D="1" dr="$A$140:$XFD$178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9Д11С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5436.8-5436.8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5371.6-5371.6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50" sId="1">
    <oc r="E141">
      <f>#REF!+E142</f>
    </oc>
    <nc r="E141">
      <f>+E142</f>
    </nc>
  </rcc>
  <rcc rId="251" sId="1">
    <oc r="F141">
      <f>#REF!+F142</f>
    </oc>
    <nc r="F141">
      <f>+F142</f>
    </nc>
  </rcc>
  <rcc rId="252" sId="1">
    <oc r="G141">
      <f>#REF!+G142</f>
    </oc>
    <nc r="G141">
      <f>+G142</f>
    </nc>
  </rcc>
  <rcc rId="253" sId="1" numFmtId="4">
    <nc r="F154">
      <v>0</v>
    </nc>
  </rcc>
  <rcc rId="254" sId="1" numFmtId="4">
    <nc r="G154">
      <v>0</v>
    </nc>
  </rcc>
  <rcc rId="255" sId="1" numFmtId="4">
    <nc r="F158">
      <v>0</v>
    </nc>
  </rcc>
  <rcc rId="256" sId="1" numFmtId="4">
    <nc r="G158">
      <v>0</v>
    </nc>
  </rcc>
  <rcc rId="257" sId="1" numFmtId="4">
    <nc r="F159">
      <v>0</v>
    </nc>
  </rcc>
  <rcc rId="258" sId="1" numFmtId="4">
    <nc r="G159">
      <v>0</v>
    </nc>
  </rcc>
  <rcc rId="259" sId="1" numFmtId="4">
    <nc r="F161">
      <v>0</v>
    </nc>
  </rcc>
  <rcc rId="260" sId="1" numFmtId="4">
    <nc r="G161">
      <v>0</v>
    </nc>
  </rcc>
  <rcc rId="261" sId="1" numFmtId="4">
    <nc r="F162">
      <v>0</v>
    </nc>
  </rcc>
  <rcc rId="262" sId="1" numFmtId="4">
    <nc r="G162">
      <v>0</v>
    </nc>
  </rcc>
  <rcc rId="263" sId="1" numFmtId="4">
    <nc r="F167">
      <v>0</v>
    </nc>
  </rcc>
  <rcc rId="264" sId="1" numFmtId="4">
    <nc r="G167">
      <v>0</v>
    </nc>
  </rcc>
  <rcc rId="265" sId="1" numFmtId="4">
    <nc r="F213">
      <v>0</v>
    </nc>
  </rcc>
  <rcc rId="266" sId="1" numFmtId="4">
    <nc r="G213">
      <v>0</v>
    </nc>
  </rcc>
  <rcc rId="267" sId="1" numFmtId="4">
    <nc r="F240">
      <v>0</v>
    </nc>
  </rcc>
  <rcc rId="268" sId="1" numFmtId="4">
    <nc r="G240">
      <v>0</v>
    </nc>
  </rcc>
  <rcc rId="269" sId="1" numFmtId="4">
    <nc r="F252">
      <v>0</v>
    </nc>
  </rcc>
  <rcc rId="270" sId="1" numFmtId="4">
    <nc r="G252">
      <v>0</v>
    </nc>
  </rcc>
  <rcc rId="271" sId="1" numFmtId="4">
    <nc r="F254">
      <v>0</v>
    </nc>
  </rcc>
  <rcc rId="272" sId="1" numFmtId="4">
    <nc r="G254">
      <v>0</v>
    </nc>
  </rcc>
  <rcc rId="273" sId="1" numFmtId="4">
    <nc r="F256">
      <v>0</v>
    </nc>
  </rcc>
  <rcc rId="274" sId="1" numFmtId="4">
    <nc r="G256">
      <v>0</v>
    </nc>
  </rcc>
  <rcc rId="275" sId="1" numFmtId="4">
    <nc r="F258">
      <v>0</v>
    </nc>
  </rcc>
  <rcc rId="276" sId="1" numFmtId="4">
    <nc r="G258">
      <v>0</v>
    </nc>
  </rcc>
  <rcc rId="277" sId="1" numFmtId="4">
    <nc r="F260">
      <v>0</v>
    </nc>
  </rcc>
  <rcc rId="278" sId="1" numFmtId="4">
    <nc r="G260">
      <v>0</v>
    </nc>
  </rcc>
  <rcc rId="279" sId="1" numFmtId="4">
    <nc r="F262">
      <v>0</v>
    </nc>
  </rcc>
  <rcc rId="280" sId="1" numFmtId="4">
    <nc r="G262">
      <v>0</v>
    </nc>
  </rcc>
  <rcc rId="281" sId="1" numFmtId="4">
    <nc r="F264">
      <v>0</v>
    </nc>
  </rcc>
  <rcc rId="282" sId="1" numFmtId="4">
    <nc r="G264">
      <v>0</v>
    </nc>
  </rcc>
  <rcc rId="283" sId="1" numFmtId="4">
    <nc r="F266">
      <v>0</v>
    </nc>
  </rcc>
  <rcc rId="284" sId="1" numFmtId="4">
    <nc r="G266">
      <v>0</v>
    </nc>
  </rcc>
  <rcc rId="285" sId="1" numFmtId="4">
    <nc r="F268">
      <v>0</v>
    </nc>
  </rcc>
  <rcc rId="286" sId="1" numFmtId="4">
    <nc r="G268">
      <v>0</v>
    </nc>
  </rcc>
  <rcc rId="287" sId="1">
    <nc r="F269">
      <f>F270</f>
    </nc>
  </rcc>
  <rcc rId="288" sId="1">
    <nc r="G269">
      <f>G270</f>
    </nc>
  </rcc>
  <rcc rId="289" sId="1" numFmtId="4">
    <nc r="F270">
      <v>0</v>
    </nc>
  </rcc>
  <rcc rId="290" sId="1" numFmtId="4">
    <nc r="G270">
      <v>0</v>
    </nc>
  </rcc>
  <rcc rId="291" sId="1">
    <nc r="F271">
      <f>F272</f>
    </nc>
  </rcc>
  <rcc rId="292" sId="1">
    <nc r="G271">
      <f>G272</f>
    </nc>
  </rcc>
  <rcc rId="293" sId="1" numFmtId="4">
    <nc r="F272">
      <v>0</v>
    </nc>
  </rcc>
  <rcc rId="294" sId="1" numFmtId="4">
    <nc r="G272">
      <v>0</v>
    </nc>
  </rcc>
  <rcc rId="295" sId="1">
    <nc r="F273">
      <f>F274</f>
    </nc>
  </rcc>
  <rcc rId="296" sId="1">
    <nc r="G273">
      <f>G274</f>
    </nc>
  </rcc>
  <rcc rId="297" sId="1" numFmtId="4">
    <nc r="F274">
      <v>0</v>
    </nc>
  </rcc>
  <rcc rId="298" sId="1" numFmtId="4">
    <nc r="G274">
      <v>0</v>
    </nc>
  </rcc>
  <rcc rId="299" sId="1">
    <nc r="F275">
      <f>F276</f>
    </nc>
  </rcc>
  <rcc rId="300" sId="1">
    <nc r="G275">
      <f>G276</f>
    </nc>
  </rcc>
  <rcc rId="301" sId="1" numFmtId="4">
    <nc r="F276">
      <v>0</v>
    </nc>
  </rcc>
  <rcc rId="302" sId="1" numFmtId="4">
    <nc r="G276">
      <v>0</v>
    </nc>
  </rcc>
  <rcc rId="303" sId="1" numFmtId="4">
    <nc r="F279">
      <v>0</v>
    </nc>
  </rcc>
  <rcc rId="304" sId="1" numFmtId="4">
    <nc r="G279">
      <v>0</v>
    </nc>
  </rcc>
  <rrc rId="305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8:$XFD$710" dn="Z_1CA6CCC9_64EF_4CA9_9C9C_1E572976D134_.wvu.Rows" sId="1"/>
    <undo index="65535" exp="area" ref3D="1" dr="$A$703:$XFD$705" dn="Z_1CA6CCC9_64EF_4CA9_9C9C_1E572976D134_.wvu.Rows" sId="1"/>
    <undo index="65535" exp="area" ref3D="1" dr="$A$682:$XFD$700" dn="Z_1CA6CCC9_64EF_4CA9_9C9C_1E572976D134_.wvu.Rows" sId="1"/>
    <undo index="65535" exp="area" ref3D="1" dr="$A$667:$XFD$680" dn="Z_1CA6CCC9_64EF_4CA9_9C9C_1E572976D134_.wvu.Rows" sId="1"/>
    <undo index="65535" exp="area" ref3D="1" dr="$A$657:$XFD$665" dn="Z_1CA6CCC9_64EF_4CA9_9C9C_1E572976D134_.wvu.Rows" sId="1"/>
    <undo index="65535" exp="area" ref3D="1" dr="$A$625:$XFD$654" dn="Z_1CA6CCC9_64EF_4CA9_9C9C_1E572976D134_.wvu.Rows" sId="1"/>
    <undo index="65535" exp="area" ref3D="1" dr="$A$604:$XFD$623" dn="Z_1CA6CCC9_64EF_4CA9_9C9C_1E572976D134_.wvu.Rows" sId="1"/>
    <undo index="65535" exp="area" ref3D="1" dr="$A$600:$XFD$602" dn="Z_1CA6CCC9_64EF_4CA9_9C9C_1E572976D134_.wvu.Rows" sId="1"/>
    <undo index="65535" exp="area" ref3D="1" dr="$A$576:$XFD$597" dn="Z_1CA6CCC9_64EF_4CA9_9C9C_1E572976D134_.wvu.Rows" sId="1"/>
    <undo index="65535" exp="area" ref3D="1" dr="$A$559:$XFD$574" dn="Z_1CA6CCC9_64EF_4CA9_9C9C_1E572976D134_.wvu.Rows" sId="1"/>
    <undo index="65535" exp="area" ref3D="1" dr="$A$512:$XFD$556" dn="Z_1CA6CCC9_64EF_4CA9_9C9C_1E572976D134_.wvu.Rows" sId="1"/>
    <undo index="65535" exp="area" ref3D="1" dr="$A$494:$XFD$510" dn="Z_1CA6CCC9_64EF_4CA9_9C9C_1E572976D134_.wvu.Rows" sId="1"/>
    <undo index="65535" exp="area" ref3D="1" dr="$A$478:$XFD$492" dn="Z_1CA6CCC9_64EF_4CA9_9C9C_1E572976D134_.wvu.Rows" sId="1"/>
    <undo index="65535" exp="area" ref3D="1" dr="$A$408:$XFD$476" dn="Z_1CA6CCC9_64EF_4CA9_9C9C_1E572976D134_.wvu.Rows" sId="1"/>
    <undo index="65535" exp="area" ref3D="1" dr="$A$388:$XFD$406" dn="Z_1CA6CCC9_64EF_4CA9_9C9C_1E572976D134_.wvu.Rows" sId="1"/>
    <undo index="65535" exp="area" ref3D="1" dr="$A$381:$XFD$385" dn="Z_1CA6CCC9_64EF_4CA9_9C9C_1E572976D134_.wvu.Rows" sId="1"/>
    <undo index="65535" exp="area" ref3D="1" dr="$A$360:$XFD$378" dn="Z_1CA6CCC9_64EF_4CA9_9C9C_1E572976D134_.wvu.Rows" sId="1"/>
    <undo index="65535" exp="area" ref3D="1" dr="$A$305:$XFD$358" dn="Z_1CA6CCC9_64EF_4CA9_9C9C_1E572976D134_.wvu.Rows" sId="1"/>
    <undo index="65535" exp="area" ref3D="1" dr="$A$222:$XFD$303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Расходы, связанные с организацией единой теплоснабжающей организацией теплоснабжения в ценовых зонах теплоснабжения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03 3 01 80800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6" sId="1" ref="A284:XFD284" action="deleteRow">
    <undo index="65535" exp="area" ref3D="1" dr="$A$707:$XFD$709" dn="Z_1CA6CCC9_64EF_4CA9_9C9C_1E572976D134_.wvu.Rows" sId="1"/>
    <undo index="65535" exp="area" ref3D="1" dr="$A$702:$XFD$704" dn="Z_1CA6CCC9_64EF_4CA9_9C9C_1E572976D134_.wvu.Rows" sId="1"/>
    <undo index="65535" exp="area" ref3D="1" dr="$A$681:$XFD$699" dn="Z_1CA6CCC9_64EF_4CA9_9C9C_1E572976D134_.wvu.Rows" sId="1"/>
    <undo index="65535" exp="area" ref3D="1" dr="$A$666:$XFD$679" dn="Z_1CA6CCC9_64EF_4CA9_9C9C_1E572976D134_.wvu.Rows" sId="1"/>
    <undo index="65535" exp="area" ref3D="1" dr="$A$656:$XFD$664" dn="Z_1CA6CCC9_64EF_4CA9_9C9C_1E572976D134_.wvu.Rows" sId="1"/>
    <undo index="65535" exp="area" ref3D="1" dr="$A$624:$XFD$653" dn="Z_1CA6CCC9_64EF_4CA9_9C9C_1E572976D134_.wvu.Rows" sId="1"/>
    <undo index="65535" exp="area" ref3D="1" dr="$A$603:$XFD$622" dn="Z_1CA6CCC9_64EF_4CA9_9C9C_1E572976D134_.wvu.Rows" sId="1"/>
    <undo index="65535" exp="area" ref3D="1" dr="$A$599:$XFD$601" dn="Z_1CA6CCC9_64EF_4CA9_9C9C_1E572976D134_.wvu.Rows" sId="1"/>
    <undo index="65535" exp="area" ref3D="1" dr="$A$575:$XFD$596" dn="Z_1CA6CCC9_64EF_4CA9_9C9C_1E572976D134_.wvu.Rows" sId="1"/>
    <undo index="65535" exp="area" ref3D="1" dr="$A$558:$XFD$573" dn="Z_1CA6CCC9_64EF_4CA9_9C9C_1E572976D134_.wvu.Rows" sId="1"/>
    <undo index="65535" exp="area" ref3D="1" dr="$A$511:$XFD$555" dn="Z_1CA6CCC9_64EF_4CA9_9C9C_1E572976D134_.wvu.Rows" sId="1"/>
    <undo index="65535" exp="area" ref3D="1" dr="$A$493:$XFD$509" dn="Z_1CA6CCC9_64EF_4CA9_9C9C_1E572976D134_.wvu.Rows" sId="1"/>
    <undo index="65535" exp="area" ref3D="1" dr="$A$477:$XFD$491" dn="Z_1CA6CCC9_64EF_4CA9_9C9C_1E572976D134_.wvu.Rows" sId="1"/>
    <undo index="65535" exp="area" ref3D="1" dr="$A$407:$XFD$475" dn="Z_1CA6CCC9_64EF_4CA9_9C9C_1E572976D134_.wvu.Rows" sId="1"/>
    <undo index="65535" exp="area" ref3D="1" dr="$A$387:$XFD$405" dn="Z_1CA6CCC9_64EF_4CA9_9C9C_1E572976D134_.wvu.Rows" sId="1"/>
    <undo index="65535" exp="area" ref3D="1" dr="$A$380:$XFD$384" dn="Z_1CA6CCC9_64EF_4CA9_9C9C_1E572976D134_.wvu.Rows" sId="1"/>
    <undo index="65535" exp="area" ref3D="1" dr="$A$359:$XFD$377" dn="Z_1CA6CCC9_64EF_4CA9_9C9C_1E572976D134_.wvu.Rows" sId="1"/>
    <undo index="65535" exp="area" ref3D="1" dr="$A$304:$XFD$357" dn="Z_1CA6CCC9_64EF_4CA9_9C9C_1E572976D134_.wvu.Rows" sId="1"/>
    <undo index="65535" exp="area" ref3D="1" dr="$A$222:$XFD$302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03 3 01 80800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170146.2-10208.8-159937.4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14878-892.7-13985.3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14878-892.7-13985.3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7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6:$XFD$708" dn="Z_1CA6CCC9_64EF_4CA9_9C9C_1E572976D134_.wvu.Rows" sId="1"/>
    <undo index="65535" exp="area" ref3D="1" dr="$A$701:$XFD$703" dn="Z_1CA6CCC9_64EF_4CA9_9C9C_1E572976D134_.wvu.Rows" sId="1"/>
    <undo index="65535" exp="area" ref3D="1" dr="$A$680:$XFD$698" dn="Z_1CA6CCC9_64EF_4CA9_9C9C_1E572976D134_.wvu.Rows" sId="1"/>
    <undo index="65535" exp="area" ref3D="1" dr="$A$665:$XFD$678" dn="Z_1CA6CCC9_64EF_4CA9_9C9C_1E572976D134_.wvu.Rows" sId="1"/>
    <undo index="65535" exp="area" ref3D="1" dr="$A$655:$XFD$663" dn="Z_1CA6CCC9_64EF_4CA9_9C9C_1E572976D134_.wvu.Rows" sId="1"/>
    <undo index="65535" exp="area" ref3D="1" dr="$A$623:$XFD$652" dn="Z_1CA6CCC9_64EF_4CA9_9C9C_1E572976D134_.wvu.Rows" sId="1"/>
    <undo index="65535" exp="area" ref3D="1" dr="$A$602:$XFD$621" dn="Z_1CA6CCC9_64EF_4CA9_9C9C_1E572976D134_.wvu.Rows" sId="1"/>
    <undo index="65535" exp="area" ref3D="1" dr="$A$598:$XFD$600" dn="Z_1CA6CCC9_64EF_4CA9_9C9C_1E572976D134_.wvu.Rows" sId="1"/>
    <undo index="65535" exp="area" ref3D="1" dr="$A$574:$XFD$595" dn="Z_1CA6CCC9_64EF_4CA9_9C9C_1E572976D134_.wvu.Rows" sId="1"/>
    <undo index="65535" exp="area" ref3D="1" dr="$A$557:$XFD$572" dn="Z_1CA6CCC9_64EF_4CA9_9C9C_1E572976D134_.wvu.Rows" sId="1"/>
    <undo index="65535" exp="area" ref3D="1" dr="$A$510:$XFD$554" dn="Z_1CA6CCC9_64EF_4CA9_9C9C_1E572976D134_.wvu.Rows" sId="1"/>
    <undo index="65535" exp="area" ref3D="1" dr="$A$492:$XFD$508" dn="Z_1CA6CCC9_64EF_4CA9_9C9C_1E572976D134_.wvu.Rows" sId="1"/>
    <undo index="65535" exp="area" ref3D="1" dr="$A$476:$XFD$490" dn="Z_1CA6CCC9_64EF_4CA9_9C9C_1E572976D134_.wvu.Rows" sId="1"/>
    <undo index="65535" exp="area" ref3D="1" dr="$A$406:$XFD$474" dn="Z_1CA6CCC9_64EF_4CA9_9C9C_1E572976D134_.wvu.Rows" sId="1"/>
    <undo index="65535" exp="area" ref3D="1" dr="$A$386:$XFD$404" dn="Z_1CA6CCC9_64EF_4CA9_9C9C_1E572976D134_.wvu.Rows" sId="1"/>
    <undo index="65535" exp="area" ref3D="1" dr="$A$379:$XFD$383" dn="Z_1CA6CCC9_64EF_4CA9_9C9C_1E572976D134_.wvu.Rows" sId="1"/>
    <undo index="65535" exp="area" ref3D="1" dr="$A$358:$XFD$376" dn="Z_1CA6CCC9_64EF_4CA9_9C9C_1E572976D134_.wvu.Rows" sId="1"/>
    <undo index="65535" exp="area" ref3D="1" dr="$A$303:$XFD$356" dn="Z_1CA6CCC9_64EF_4CA9_9C9C_1E572976D134_.wvu.Rows" sId="1"/>
    <undo index="65535" exp="area" ref3D="1" dr="$A$222:$XFD$301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03 3 01 88580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8" sId="1" ref="A284:XFD284" action="deleteRow">
    <undo index="65535" exp="area" ref3D="1" dr="$A$705:$XFD$707" dn="Z_1CA6CCC9_64EF_4CA9_9C9C_1E572976D134_.wvu.Rows" sId="1"/>
    <undo index="65535" exp="area" ref3D="1" dr="$A$700:$XFD$702" dn="Z_1CA6CCC9_64EF_4CA9_9C9C_1E572976D134_.wvu.Rows" sId="1"/>
    <undo index="65535" exp="area" ref3D="1" dr="$A$679:$XFD$697" dn="Z_1CA6CCC9_64EF_4CA9_9C9C_1E572976D134_.wvu.Rows" sId="1"/>
    <undo index="65535" exp="area" ref3D="1" dr="$A$664:$XFD$677" dn="Z_1CA6CCC9_64EF_4CA9_9C9C_1E572976D134_.wvu.Rows" sId="1"/>
    <undo index="65535" exp="area" ref3D="1" dr="$A$654:$XFD$662" dn="Z_1CA6CCC9_64EF_4CA9_9C9C_1E572976D134_.wvu.Rows" sId="1"/>
    <undo index="65535" exp="area" ref3D="1" dr="$A$622:$XFD$651" dn="Z_1CA6CCC9_64EF_4CA9_9C9C_1E572976D134_.wvu.Rows" sId="1"/>
    <undo index="65535" exp="area" ref3D="1" dr="$A$601:$XFD$620" dn="Z_1CA6CCC9_64EF_4CA9_9C9C_1E572976D134_.wvu.Rows" sId="1"/>
    <undo index="65535" exp="area" ref3D="1" dr="$A$597:$XFD$599" dn="Z_1CA6CCC9_64EF_4CA9_9C9C_1E572976D134_.wvu.Rows" sId="1"/>
    <undo index="65535" exp="area" ref3D="1" dr="$A$573:$XFD$594" dn="Z_1CA6CCC9_64EF_4CA9_9C9C_1E572976D134_.wvu.Rows" sId="1"/>
    <undo index="65535" exp="area" ref3D="1" dr="$A$556:$XFD$571" dn="Z_1CA6CCC9_64EF_4CA9_9C9C_1E572976D134_.wvu.Rows" sId="1"/>
    <undo index="65535" exp="area" ref3D="1" dr="$A$509:$XFD$553" dn="Z_1CA6CCC9_64EF_4CA9_9C9C_1E572976D134_.wvu.Rows" sId="1"/>
    <undo index="65535" exp="area" ref3D="1" dr="$A$491:$XFD$507" dn="Z_1CA6CCC9_64EF_4CA9_9C9C_1E572976D134_.wvu.Rows" sId="1"/>
    <undo index="65535" exp="area" ref3D="1" dr="$A$475:$XFD$489" dn="Z_1CA6CCC9_64EF_4CA9_9C9C_1E572976D134_.wvu.Rows" sId="1"/>
    <undo index="65535" exp="area" ref3D="1" dr="$A$405:$XFD$473" dn="Z_1CA6CCC9_64EF_4CA9_9C9C_1E572976D134_.wvu.Rows" sId="1"/>
    <undo index="65535" exp="area" ref3D="1" dr="$A$385:$XFD$403" dn="Z_1CA6CCC9_64EF_4CA9_9C9C_1E572976D134_.wvu.Rows" sId="1"/>
    <undo index="65535" exp="area" ref3D="1" dr="$A$378:$XFD$382" dn="Z_1CA6CCC9_64EF_4CA9_9C9C_1E572976D134_.wvu.Rows" sId="1"/>
    <undo index="65535" exp="area" ref3D="1" dr="$A$357:$XFD$375" dn="Z_1CA6CCC9_64EF_4CA9_9C9C_1E572976D134_.wvu.Rows" sId="1"/>
    <undo index="65535" exp="area" ref3D="1" dr="$A$302:$XFD$355" dn="Z_1CA6CCC9_64EF_4CA9_9C9C_1E572976D134_.wvu.Rows" sId="1"/>
    <undo index="65535" exp="area" ref3D="1" dr="$A$222:$XFD$300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Социальное обеспечение и иные выплаты населению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03 3 01 88580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300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4381.9-262.9-4119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4557.2-273.4-4283.8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4557.2-273.4-4283.8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9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4:$XFD$706" dn="Z_1CA6CCC9_64EF_4CA9_9C9C_1E572976D134_.wvu.Rows" sId="1"/>
    <undo index="65535" exp="area" ref3D="1" dr="$A$699:$XFD$701" dn="Z_1CA6CCC9_64EF_4CA9_9C9C_1E572976D134_.wvu.Rows" sId="1"/>
    <undo index="65535" exp="area" ref3D="1" dr="$A$678:$XFD$696" dn="Z_1CA6CCC9_64EF_4CA9_9C9C_1E572976D134_.wvu.Rows" sId="1"/>
    <undo index="65535" exp="area" ref3D="1" dr="$A$663:$XFD$676" dn="Z_1CA6CCC9_64EF_4CA9_9C9C_1E572976D134_.wvu.Rows" sId="1"/>
    <undo index="65535" exp="area" ref3D="1" dr="$A$653:$XFD$661" dn="Z_1CA6CCC9_64EF_4CA9_9C9C_1E572976D134_.wvu.Rows" sId="1"/>
    <undo index="65535" exp="area" ref3D="1" dr="$A$621:$XFD$650" dn="Z_1CA6CCC9_64EF_4CA9_9C9C_1E572976D134_.wvu.Rows" sId="1"/>
    <undo index="65535" exp="area" ref3D="1" dr="$A$600:$XFD$619" dn="Z_1CA6CCC9_64EF_4CA9_9C9C_1E572976D134_.wvu.Rows" sId="1"/>
    <undo index="65535" exp="area" ref3D="1" dr="$A$596:$XFD$598" dn="Z_1CA6CCC9_64EF_4CA9_9C9C_1E572976D134_.wvu.Rows" sId="1"/>
    <undo index="65535" exp="area" ref3D="1" dr="$A$572:$XFD$593" dn="Z_1CA6CCC9_64EF_4CA9_9C9C_1E572976D134_.wvu.Rows" sId="1"/>
    <undo index="65535" exp="area" ref3D="1" dr="$A$555:$XFD$570" dn="Z_1CA6CCC9_64EF_4CA9_9C9C_1E572976D134_.wvu.Rows" sId="1"/>
    <undo index="65535" exp="area" ref3D="1" dr="$A$508:$XFD$552" dn="Z_1CA6CCC9_64EF_4CA9_9C9C_1E572976D134_.wvu.Rows" sId="1"/>
    <undo index="65535" exp="area" ref3D="1" dr="$A$490:$XFD$506" dn="Z_1CA6CCC9_64EF_4CA9_9C9C_1E572976D134_.wvu.Rows" sId="1"/>
    <undo index="65535" exp="area" ref3D="1" dr="$A$474:$XFD$488" dn="Z_1CA6CCC9_64EF_4CA9_9C9C_1E572976D134_.wvu.Rows" sId="1"/>
    <undo index="65535" exp="area" ref3D="1" dr="$A$404:$XFD$472" dn="Z_1CA6CCC9_64EF_4CA9_9C9C_1E572976D134_.wvu.Rows" sId="1"/>
    <undo index="65535" exp="area" ref3D="1" dr="$A$384:$XFD$402" dn="Z_1CA6CCC9_64EF_4CA9_9C9C_1E572976D134_.wvu.Rows" sId="1"/>
    <undo index="65535" exp="area" ref3D="1" dr="$A$377:$XFD$381" dn="Z_1CA6CCC9_64EF_4CA9_9C9C_1E572976D134_.wvu.Rows" sId="1"/>
    <undo index="65535" exp="area" ref3D="1" dr="$A$356:$XFD$374" dn="Z_1CA6CCC9_64EF_4CA9_9C9C_1E572976D134_.wvu.Rows" sId="1"/>
    <undo index="65535" exp="area" ref3D="1" dr="$A$301:$XFD$354" dn="Z_1CA6CCC9_64EF_4CA9_9C9C_1E572976D134_.wvu.Rows" sId="1"/>
    <undo index="65535" exp="area" ref3D="1" dr="$A$222:$XFD$299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10" sId="1" ref="A284:XFD284" action="deleteRow">
    <undo index="65535" exp="area" ref3D="1" dr="$A$703:$XFD$705" dn="Z_1CA6CCC9_64EF_4CA9_9C9C_1E572976D134_.wvu.Rows" sId="1"/>
    <undo index="65535" exp="area" ref3D="1" dr="$A$698:$XFD$700" dn="Z_1CA6CCC9_64EF_4CA9_9C9C_1E572976D134_.wvu.Rows" sId="1"/>
    <undo index="65535" exp="area" ref3D="1" dr="$A$677:$XFD$695" dn="Z_1CA6CCC9_64EF_4CA9_9C9C_1E572976D134_.wvu.Rows" sId="1"/>
    <undo index="65535" exp="area" ref3D="1" dr="$A$662:$XFD$675" dn="Z_1CA6CCC9_64EF_4CA9_9C9C_1E572976D134_.wvu.Rows" sId="1"/>
    <undo index="65535" exp="area" ref3D="1" dr="$A$652:$XFD$660" dn="Z_1CA6CCC9_64EF_4CA9_9C9C_1E572976D134_.wvu.Rows" sId="1"/>
    <undo index="65535" exp="area" ref3D="1" dr="$A$620:$XFD$649" dn="Z_1CA6CCC9_64EF_4CA9_9C9C_1E572976D134_.wvu.Rows" sId="1"/>
    <undo index="65535" exp="area" ref3D="1" dr="$A$599:$XFD$618" dn="Z_1CA6CCC9_64EF_4CA9_9C9C_1E572976D134_.wvu.Rows" sId="1"/>
    <undo index="65535" exp="area" ref3D="1" dr="$A$595:$XFD$597" dn="Z_1CA6CCC9_64EF_4CA9_9C9C_1E572976D134_.wvu.Rows" sId="1"/>
    <undo index="65535" exp="area" ref3D="1" dr="$A$571:$XFD$592" dn="Z_1CA6CCC9_64EF_4CA9_9C9C_1E572976D134_.wvu.Rows" sId="1"/>
    <undo index="65535" exp="area" ref3D="1" dr="$A$554:$XFD$569" dn="Z_1CA6CCC9_64EF_4CA9_9C9C_1E572976D134_.wvu.Rows" sId="1"/>
    <undo index="65535" exp="area" ref3D="1" dr="$A$507:$XFD$551" dn="Z_1CA6CCC9_64EF_4CA9_9C9C_1E572976D134_.wvu.Rows" sId="1"/>
    <undo index="65535" exp="area" ref3D="1" dr="$A$489:$XFD$505" dn="Z_1CA6CCC9_64EF_4CA9_9C9C_1E572976D134_.wvu.Rows" sId="1"/>
    <undo index="65535" exp="area" ref3D="1" dr="$A$473:$XFD$487" dn="Z_1CA6CCC9_64EF_4CA9_9C9C_1E572976D134_.wvu.Rows" sId="1"/>
    <undo index="65535" exp="area" ref3D="1" dr="$A$403:$XFD$471" dn="Z_1CA6CCC9_64EF_4CA9_9C9C_1E572976D134_.wvu.Rows" sId="1"/>
    <undo index="65535" exp="area" ref3D="1" dr="$A$383:$XFD$401" dn="Z_1CA6CCC9_64EF_4CA9_9C9C_1E572976D134_.wvu.Rows" sId="1"/>
    <undo index="65535" exp="area" ref3D="1" dr="$A$376:$XFD$380" dn="Z_1CA6CCC9_64EF_4CA9_9C9C_1E572976D134_.wvu.Rows" sId="1"/>
    <undo index="65535" exp="area" ref3D="1" dr="$A$355:$XFD$373" dn="Z_1CA6CCC9_64EF_4CA9_9C9C_1E572976D134_.wvu.Rows" sId="1"/>
    <undo index="65535" exp="area" ref3D="1" dr="$A$300:$XFD$353" dn="Z_1CA6CCC9_64EF_4CA9_9C9C_1E572976D134_.wvu.Rows" sId="1"/>
    <undo index="65535" exp="area" ref3D="1" dr="$A$222:$XFD$298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65177.8-65177.8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67783.2-67783.2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67783.2-67783.2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11" sId="1">
    <oc r="E281">
      <f>E282+#REF!+#REF!+#REF!+E287+E289+E284</f>
    </oc>
    <nc r="E281">
      <f>E2820+E287+E289+E284</f>
    </nc>
  </rcc>
  <rcc rId="312" sId="1">
    <oc r="F281">
      <f>F282+#REF!+#REF!+#REF!+F287+F289+F284</f>
    </oc>
    <nc r="F281">
      <f>F2820+F287+F289+F284</f>
    </nc>
  </rcc>
  <rcc rId="313" sId="1">
    <oc r="G281">
      <f>G282+#REF!+#REF!+#REF!+G287+G289+G284</f>
    </oc>
    <nc r="G281">
      <f>G2820+G287+G289+G284</f>
    </nc>
  </rcc>
  <rrc rId="314" sId="1" ref="A296:XFD296" action="deleteRow">
    <undo index="65535" exp="ref" v="1" dr="G296" r="G291" sId="1"/>
    <undo index="65535" exp="ref" v="1" dr="F296" r="F291" sId="1"/>
    <undo index="65535" exp="ref" v="1" dr="E296" r="E291" sId="1"/>
    <undo index="65535" exp="area" ref3D="1" dr="$A$702:$XFD$704" dn="Z_1CA6CCC9_64EF_4CA9_9C9C_1E572976D134_.wvu.Rows" sId="1"/>
    <undo index="65535" exp="area" ref3D="1" dr="$A$697:$XFD$699" dn="Z_1CA6CCC9_64EF_4CA9_9C9C_1E572976D134_.wvu.Rows" sId="1"/>
    <undo index="65535" exp="area" ref3D="1" dr="$A$676:$XFD$694" dn="Z_1CA6CCC9_64EF_4CA9_9C9C_1E572976D134_.wvu.Rows" sId="1"/>
    <undo index="65535" exp="area" ref3D="1" dr="$A$661:$XFD$674" dn="Z_1CA6CCC9_64EF_4CA9_9C9C_1E572976D134_.wvu.Rows" sId="1"/>
    <undo index="65535" exp="area" ref3D="1" dr="$A$651:$XFD$659" dn="Z_1CA6CCC9_64EF_4CA9_9C9C_1E572976D134_.wvu.Rows" sId="1"/>
    <undo index="65535" exp="area" ref3D="1" dr="$A$619:$XFD$648" dn="Z_1CA6CCC9_64EF_4CA9_9C9C_1E572976D134_.wvu.Rows" sId="1"/>
    <undo index="65535" exp="area" ref3D="1" dr="$A$598:$XFD$617" dn="Z_1CA6CCC9_64EF_4CA9_9C9C_1E572976D134_.wvu.Rows" sId="1"/>
    <undo index="65535" exp="area" ref3D="1" dr="$A$594:$XFD$596" dn="Z_1CA6CCC9_64EF_4CA9_9C9C_1E572976D134_.wvu.Rows" sId="1"/>
    <undo index="65535" exp="area" ref3D="1" dr="$A$570:$XFD$591" dn="Z_1CA6CCC9_64EF_4CA9_9C9C_1E572976D134_.wvu.Rows" sId="1"/>
    <undo index="65535" exp="area" ref3D="1" dr="$A$553:$XFD$568" dn="Z_1CA6CCC9_64EF_4CA9_9C9C_1E572976D134_.wvu.Rows" sId="1"/>
    <undo index="65535" exp="area" ref3D="1" dr="$A$506:$XFD$550" dn="Z_1CA6CCC9_64EF_4CA9_9C9C_1E572976D134_.wvu.Rows" sId="1"/>
    <undo index="65535" exp="area" ref3D="1" dr="$A$488:$XFD$504" dn="Z_1CA6CCC9_64EF_4CA9_9C9C_1E572976D134_.wvu.Rows" sId="1"/>
    <undo index="65535" exp="area" ref3D="1" dr="$A$472:$XFD$486" dn="Z_1CA6CCC9_64EF_4CA9_9C9C_1E572976D134_.wvu.Rows" sId="1"/>
    <undo index="65535" exp="area" ref3D="1" dr="$A$402:$XFD$470" dn="Z_1CA6CCC9_64EF_4CA9_9C9C_1E572976D134_.wvu.Rows" sId="1"/>
    <undo index="65535" exp="area" ref3D="1" dr="$A$382:$XFD$400" dn="Z_1CA6CCC9_64EF_4CA9_9C9C_1E572976D134_.wvu.Rows" sId="1"/>
    <undo index="65535" exp="area" ref3D="1" dr="$A$375:$XFD$379" dn="Z_1CA6CCC9_64EF_4CA9_9C9C_1E572976D134_.wvu.Rows" sId="1"/>
    <undo index="65535" exp="area" ref3D="1" dr="$A$354:$XFD$372" dn="Z_1CA6CCC9_64EF_4CA9_9C9C_1E572976D134_.wvu.Rows" sId="1"/>
    <undo index="65535" exp="area" ref3D="1" dr="$A$299:$XFD$352" dn="Z_1CA6CCC9_64EF_4CA9_9C9C_1E572976D134_.wvu.Rows" sId="1"/>
    <undo index="65535" exp="area" ref3D="1" dr="$A$222:$XFD$297" dn="Z_1CA6CCC9_64EF_4CA9_9C9C_1E572976D134_.wvu.Rows" sId="1"/>
    <rfmt sheetId="1" xfDxf="1" sqref="A296:XFD29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96" t="inlineStr">
        <is>
          <t>Расходы, направленные на ремонт общественных бань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96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96" t="inlineStr">
        <is>
          <t>03 3 02 S9050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96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96">
        <f>E297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96">
        <f>F297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96">
        <f>G297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15" sId="1" ref="A296:XFD296" action="deleteRow">
    <undo index="65535" exp="area" ref3D="1" dr="$A$701:$XFD$703" dn="Z_1CA6CCC9_64EF_4CA9_9C9C_1E572976D134_.wvu.Rows" sId="1"/>
    <undo index="65535" exp="area" ref3D="1" dr="$A$696:$XFD$698" dn="Z_1CA6CCC9_64EF_4CA9_9C9C_1E572976D134_.wvu.Rows" sId="1"/>
    <undo index="65535" exp="area" ref3D="1" dr="$A$675:$XFD$693" dn="Z_1CA6CCC9_64EF_4CA9_9C9C_1E572976D134_.wvu.Rows" sId="1"/>
    <undo index="65535" exp="area" ref3D="1" dr="$A$660:$XFD$673" dn="Z_1CA6CCC9_64EF_4CA9_9C9C_1E572976D134_.wvu.Rows" sId="1"/>
    <undo index="65535" exp="area" ref3D="1" dr="$A$650:$XFD$658" dn="Z_1CA6CCC9_64EF_4CA9_9C9C_1E572976D134_.wvu.Rows" sId="1"/>
    <undo index="65535" exp="area" ref3D="1" dr="$A$618:$XFD$647" dn="Z_1CA6CCC9_64EF_4CA9_9C9C_1E572976D134_.wvu.Rows" sId="1"/>
    <undo index="65535" exp="area" ref3D="1" dr="$A$597:$XFD$616" dn="Z_1CA6CCC9_64EF_4CA9_9C9C_1E572976D134_.wvu.Rows" sId="1"/>
    <undo index="65535" exp="area" ref3D="1" dr="$A$593:$XFD$595" dn="Z_1CA6CCC9_64EF_4CA9_9C9C_1E572976D134_.wvu.Rows" sId="1"/>
    <undo index="65535" exp="area" ref3D="1" dr="$A$569:$XFD$590" dn="Z_1CA6CCC9_64EF_4CA9_9C9C_1E572976D134_.wvu.Rows" sId="1"/>
    <undo index="65535" exp="area" ref3D="1" dr="$A$552:$XFD$567" dn="Z_1CA6CCC9_64EF_4CA9_9C9C_1E572976D134_.wvu.Rows" sId="1"/>
    <undo index="65535" exp="area" ref3D="1" dr="$A$505:$XFD$549" dn="Z_1CA6CCC9_64EF_4CA9_9C9C_1E572976D134_.wvu.Rows" sId="1"/>
    <undo index="65535" exp="area" ref3D="1" dr="$A$487:$XFD$503" dn="Z_1CA6CCC9_64EF_4CA9_9C9C_1E572976D134_.wvu.Rows" sId="1"/>
    <undo index="65535" exp="area" ref3D="1" dr="$A$471:$XFD$485" dn="Z_1CA6CCC9_64EF_4CA9_9C9C_1E572976D134_.wvu.Rows" sId="1"/>
    <undo index="65535" exp="area" ref3D="1" dr="$A$401:$XFD$469" dn="Z_1CA6CCC9_64EF_4CA9_9C9C_1E572976D134_.wvu.Rows" sId="1"/>
    <undo index="65535" exp="area" ref3D="1" dr="$A$381:$XFD$399" dn="Z_1CA6CCC9_64EF_4CA9_9C9C_1E572976D134_.wvu.Rows" sId="1"/>
    <undo index="65535" exp="area" ref3D="1" dr="$A$374:$XFD$378" dn="Z_1CA6CCC9_64EF_4CA9_9C9C_1E572976D134_.wvu.Rows" sId="1"/>
    <undo index="65535" exp="area" ref3D="1" dr="$A$353:$XFD$371" dn="Z_1CA6CCC9_64EF_4CA9_9C9C_1E572976D134_.wvu.Rows" sId="1"/>
    <undo index="65535" exp="area" ref3D="1" dr="$A$298:$XFD$351" dn="Z_1CA6CCC9_64EF_4CA9_9C9C_1E572976D134_.wvu.Rows" sId="1"/>
    <undo index="65535" exp="area" ref3D="1" dr="$A$222:$XFD$296" dn="Z_1CA6CCC9_64EF_4CA9_9C9C_1E572976D134_.wvu.Rows" sId="1"/>
    <rfmt sheetId="1" xfDxf="1" sqref="A296:XFD29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96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96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96" t="inlineStr">
        <is>
          <t>03 3 02 S9050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96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 numFmtId="4">
      <nc r="E296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96">
        <f>7755.2-465.3-7289.9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296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16" sId="1">
    <oc r="E291">
      <f>E292+E294+#REF!</f>
    </oc>
    <nc r="E291">
      <f>E292+E294</f>
    </nc>
  </rcc>
  <rcc rId="317" sId="1">
    <oc r="F291">
      <f>F292+F294+#REF!</f>
    </oc>
    <nc r="F291">
      <f>F292+F294</f>
    </nc>
  </rcc>
  <rcc rId="318" sId="1">
    <oc r="G291">
      <f>G292+G294+#REF!</f>
    </oc>
    <nc r="G291">
      <f>G292+G294</f>
    </nc>
  </rcc>
  <rcc rId="319" sId="1" numFmtId="4">
    <nc r="F301">
      <v>0</v>
    </nc>
  </rcc>
  <rcc rId="320" sId="1" numFmtId="4">
    <nc r="G301">
      <v>0</v>
    </nc>
  </rcc>
  <rcc rId="321" sId="1" numFmtId="4">
    <nc r="F313">
      <v>0</v>
    </nc>
  </rcc>
  <rcc rId="322" sId="1" numFmtId="4">
    <nc r="G313">
      <v>0</v>
    </nc>
  </rcc>
  <rcc rId="323" sId="1" numFmtId="4">
    <nc r="G315">
      <v>0</v>
    </nc>
  </rcc>
  <rcc rId="324" sId="1" numFmtId="4">
    <nc r="F325">
      <v>0</v>
    </nc>
  </rcc>
  <rcc rId="325" sId="1" numFmtId="4">
    <nc r="G325">
      <v>0</v>
    </nc>
  </rcc>
  <rcc rId="326" sId="1" numFmtId="4">
    <nc r="F363">
      <v>0</v>
    </nc>
  </rcc>
  <rcc rId="327" sId="1" numFmtId="4">
    <nc r="G363">
      <v>0</v>
    </nc>
  </rcc>
  <rrc rId="328" sId="1" ref="A402:XFD402" action="deleteRow">
    <undo index="0" exp="ref" v="1" dr="G402" r="G401" sId="1"/>
    <undo index="0" exp="ref" v="1" dr="F402" r="F401" sId="1"/>
    <undo index="0" exp="ref" v="1" dr="E402" r="E401" sId="1"/>
    <undo index="65535" exp="area" ref3D="1" dr="$A$700:$XFD$702" dn="Z_1CA6CCC9_64EF_4CA9_9C9C_1E572976D134_.wvu.Rows" sId="1"/>
    <undo index="65535" exp="area" ref3D="1" dr="$A$695:$XFD$697" dn="Z_1CA6CCC9_64EF_4CA9_9C9C_1E572976D134_.wvu.Rows" sId="1"/>
    <undo index="65535" exp="area" ref3D="1" dr="$A$674:$XFD$692" dn="Z_1CA6CCC9_64EF_4CA9_9C9C_1E572976D134_.wvu.Rows" sId="1"/>
    <undo index="65535" exp="area" ref3D="1" dr="$A$659:$XFD$672" dn="Z_1CA6CCC9_64EF_4CA9_9C9C_1E572976D134_.wvu.Rows" sId="1"/>
    <undo index="65535" exp="area" ref3D="1" dr="$A$649:$XFD$657" dn="Z_1CA6CCC9_64EF_4CA9_9C9C_1E572976D134_.wvu.Rows" sId="1"/>
    <undo index="65535" exp="area" ref3D="1" dr="$A$617:$XFD$646" dn="Z_1CA6CCC9_64EF_4CA9_9C9C_1E572976D134_.wvu.Rows" sId="1"/>
    <undo index="65535" exp="area" ref3D="1" dr="$A$596:$XFD$615" dn="Z_1CA6CCC9_64EF_4CA9_9C9C_1E572976D134_.wvu.Rows" sId="1"/>
    <undo index="65535" exp="area" ref3D="1" dr="$A$592:$XFD$594" dn="Z_1CA6CCC9_64EF_4CA9_9C9C_1E572976D134_.wvu.Rows" sId="1"/>
    <undo index="65535" exp="area" ref3D="1" dr="$A$568:$XFD$589" dn="Z_1CA6CCC9_64EF_4CA9_9C9C_1E572976D134_.wvu.Rows" sId="1"/>
    <undo index="65535" exp="area" ref3D="1" dr="$A$551:$XFD$566" dn="Z_1CA6CCC9_64EF_4CA9_9C9C_1E572976D134_.wvu.Rows" sId="1"/>
    <undo index="65535" exp="area" ref3D="1" dr="$A$504:$XFD$548" dn="Z_1CA6CCC9_64EF_4CA9_9C9C_1E572976D134_.wvu.Rows" sId="1"/>
    <undo index="65535" exp="area" ref3D="1" dr="$A$486:$XFD$502" dn="Z_1CA6CCC9_64EF_4CA9_9C9C_1E572976D134_.wvu.Rows" sId="1"/>
    <undo index="65535" exp="area" ref3D="1" dr="$A$470:$XFD$484" dn="Z_1CA6CCC9_64EF_4CA9_9C9C_1E572976D134_.wvu.Rows" sId="1"/>
    <undo index="65535" exp="area" ref3D="1" dr="$A$400:$XFD$468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02" t="inlineStr">
        <is>
          <t>Муниципальный проект "Патриотическое воспитание граждан Российской Федерации"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29" sId="1" ref="A402:XFD402" action="deleteRow">
    <undo index="65535" exp="area" ref3D="1" dr="$A$699:$XFD$701" dn="Z_1CA6CCC9_64EF_4CA9_9C9C_1E572976D134_.wvu.Rows" sId="1"/>
    <undo index="65535" exp="area" ref3D="1" dr="$A$694:$XFD$696" dn="Z_1CA6CCC9_64EF_4CA9_9C9C_1E572976D134_.wvu.Rows" sId="1"/>
    <undo index="65535" exp="area" ref3D="1" dr="$A$673:$XFD$691" dn="Z_1CA6CCC9_64EF_4CA9_9C9C_1E572976D134_.wvu.Rows" sId="1"/>
    <undo index="65535" exp="area" ref3D="1" dr="$A$658:$XFD$671" dn="Z_1CA6CCC9_64EF_4CA9_9C9C_1E572976D134_.wvu.Rows" sId="1"/>
    <undo index="65535" exp="area" ref3D="1" dr="$A$648:$XFD$656" dn="Z_1CA6CCC9_64EF_4CA9_9C9C_1E572976D134_.wvu.Rows" sId="1"/>
    <undo index="65535" exp="area" ref3D="1" dr="$A$616:$XFD$645" dn="Z_1CA6CCC9_64EF_4CA9_9C9C_1E572976D134_.wvu.Rows" sId="1"/>
    <undo index="65535" exp="area" ref3D="1" dr="$A$595:$XFD$614" dn="Z_1CA6CCC9_64EF_4CA9_9C9C_1E572976D134_.wvu.Rows" sId="1"/>
    <undo index="65535" exp="area" ref3D="1" dr="$A$591:$XFD$593" dn="Z_1CA6CCC9_64EF_4CA9_9C9C_1E572976D134_.wvu.Rows" sId="1"/>
    <undo index="65535" exp="area" ref3D="1" dr="$A$567:$XFD$588" dn="Z_1CA6CCC9_64EF_4CA9_9C9C_1E572976D134_.wvu.Rows" sId="1"/>
    <undo index="65535" exp="area" ref3D="1" dr="$A$550:$XFD$565" dn="Z_1CA6CCC9_64EF_4CA9_9C9C_1E572976D134_.wvu.Rows" sId="1"/>
    <undo index="65535" exp="area" ref3D="1" dr="$A$503:$XFD$547" dn="Z_1CA6CCC9_64EF_4CA9_9C9C_1E572976D134_.wvu.Rows" sId="1"/>
    <undo index="65535" exp="area" ref3D="1" dr="$A$485:$XFD$501" dn="Z_1CA6CCC9_64EF_4CA9_9C9C_1E572976D134_.wvu.Rows" sId="1"/>
    <undo index="65535" exp="area" ref3D="1" dr="$A$469:$XFD$483" dn="Z_1CA6CCC9_64EF_4CA9_9C9C_1E572976D134_.wvu.Rows" sId="1"/>
    <undo index="65535" exp="area" ref3D="1" dr="$A$400:$XFD$467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02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51790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0" sId="1" ref="A402:XFD402" action="deleteRow">
    <undo index="65535" exp="area" ref3D="1" dr="$A$698:$XFD$700" dn="Z_1CA6CCC9_64EF_4CA9_9C9C_1E572976D134_.wvu.Rows" sId="1"/>
    <undo index="65535" exp="area" ref3D="1" dr="$A$693:$XFD$695" dn="Z_1CA6CCC9_64EF_4CA9_9C9C_1E572976D134_.wvu.Rows" sId="1"/>
    <undo index="65535" exp="area" ref3D="1" dr="$A$672:$XFD$690" dn="Z_1CA6CCC9_64EF_4CA9_9C9C_1E572976D134_.wvu.Rows" sId="1"/>
    <undo index="65535" exp="area" ref3D="1" dr="$A$657:$XFD$670" dn="Z_1CA6CCC9_64EF_4CA9_9C9C_1E572976D134_.wvu.Rows" sId="1"/>
    <undo index="65535" exp="area" ref3D="1" dr="$A$647:$XFD$655" dn="Z_1CA6CCC9_64EF_4CA9_9C9C_1E572976D134_.wvu.Rows" sId="1"/>
    <undo index="65535" exp="area" ref3D="1" dr="$A$615:$XFD$644" dn="Z_1CA6CCC9_64EF_4CA9_9C9C_1E572976D134_.wvu.Rows" sId="1"/>
    <undo index="65535" exp="area" ref3D="1" dr="$A$594:$XFD$613" dn="Z_1CA6CCC9_64EF_4CA9_9C9C_1E572976D134_.wvu.Rows" sId="1"/>
    <undo index="65535" exp="area" ref3D="1" dr="$A$590:$XFD$592" dn="Z_1CA6CCC9_64EF_4CA9_9C9C_1E572976D134_.wvu.Rows" sId="1"/>
    <undo index="65535" exp="area" ref3D="1" dr="$A$566:$XFD$587" dn="Z_1CA6CCC9_64EF_4CA9_9C9C_1E572976D134_.wvu.Rows" sId="1"/>
    <undo index="65535" exp="area" ref3D="1" dr="$A$549:$XFD$564" dn="Z_1CA6CCC9_64EF_4CA9_9C9C_1E572976D134_.wvu.Rows" sId="1"/>
    <undo index="65535" exp="area" ref3D="1" dr="$A$502:$XFD$546" dn="Z_1CA6CCC9_64EF_4CA9_9C9C_1E572976D134_.wvu.Rows" sId="1"/>
    <undo index="65535" exp="area" ref3D="1" dr="$A$484:$XFD$500" dn="Z_1CA6CCC9_64EF_4CA9_9C9C_1E572976D134_.wvu.Rows" sId="1"/>
    <undo index="65535" exp="area" ref3D="1" dr="$A$468:$XFD$482" dn="Z_1CA6CCC9_64EF_4CA9_9C9C_1E572976D134_.wvu.Rows" sId="1"/>
    <undo index="65535" exp="area" ref3D="1" dr="$A$400:$XFD$466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51790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02">
        <v>600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402">
        <f>7529.1+232.9-7762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02">
        <f>F402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31" sId="1" ref="A402:XFD402" action="deleteRow">
    <undo index="65535" exp="ref" v="1" dr="G402" r="G401" sId="1"/>
    <undo index="65535" exp="ref" v="1" dr="F402" r="F401" sId="1"/>
    <undo index="65535" exp="ref" v="1" dr="E402" r="E401" sId="1"/>
    <undo index="65535" exp="area" ref3D="1" dr="$A$697:$XFD$699" dn="Z_1CA6CCC9_64EF_4CA9_9C9C_1E572976D134_.wvu.Rows" sId="1"/>
    <undo index="65535" exp="area" ref3D="1" dr="$A$692:$XFD$694" dn="Z_1CA6CCC9_64EF_4CA9_9C9C_1E572976D134_.wvu.Rows" sId="1"/>
    <undo index="65535" exp="area" ref3D="1" dr="$A$671:$XFD$689" dn="Z_1CA6CCC9_64EF_4CA9_9C9C_1E572976D134_.wvu.Rows" sId="1"/>
    <undo index="65535" exp="area" ref3D="1" dr="$A$656:$XFD$669" dn="Z_1CA6CCC9_64EF_4CA9_9C9C_1E572976D134_.wvu.Rows" sId="1"/>
    <undo index="65535" exp="area" ref3D="1" dr="$A$646:$XFD$654" dn="Z_1CA6CCC9_64EF_4CA9_9C9C_1E572976D134_.wvu.Rows" sId="1"/>
    <undo index="65535" exp="area" ref3D="1" dr="$A$614:$XFD$643" dn="Z_1CA6CCC9_64EF_4CA9_9C9C_1E572976D134_.wvu.Rows" sId="1"/>
    <undo index="65535" exp="area" ref3D="1" dr="$A$593:$XFD$612" dn="Z_1CA6CCC9_64EF_4CA9_9C9C_1E572976D134_.wvu.Rows" sId="1"/>
    <undo index="65535" exp="area" ref3D="1" dr="$A$589:$XFD$591" dn="Z_1CA6CCC9_64EF_4CA9_9C9C_1E572976D134_.wvu.Rows" sId="1"/>
    <undo index="65535" exp="area" ref3D="1" dr="$A$565:$XFD$586" dn="Z_1CA6CCC9_64EF_4CA9_9C9C_1E572976D134_.wvu.Rows" sId="1"/>
    <undo index="65535" exp="area" ref3D="1" dr="$A$548:$XFD$563" dn="Z_1CA6CCC9_64EF_4CA9_9C9C_1E572976D134_.wvu.Rows" sId="1"/>
    <undo index="65535" exp="area" ref3D="1" dr="$A$501:$XFD$545" dn="Z_1CA6CCC9_64EF_4CA9_9C9C_1E572976D134_.wvu.Rows" sId="1"/>
    <undo index="65535" exp="area" ref3D="1" dr="$A$483:$XFD$499" dn="Z_1CA6CCC9_64EF_4CA9_9C9C_1E572976D134_.wvu.Rows" sId="1"/>
    <undo index="65535" exp="area" ref3D="1" dr="$A$467:$XFD$481" dn="Z_1CA6CCC9_64EF_4CA9_9C9C_1E572976D134_.wvu.Rows" sId="1"/>
    <undo index="65535" exp="area" ref3D="1" dr="$A$400:$XFD$465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Муниципальный проект "Современная школа"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2" sId="1" ref="A402:XFD402" action="deleteRow">
    <undo index="65535" exp="area" ref3D="1" dr="$A$696:$XFD$698" dn="Z_1CA6CCC9_64EF_4CA9_9C9C_1E572976D134_.wvu.Rows" sId="1"/>
    <undo index="65535" exp="area" ref3D="1" dr="$A$691:$XFD$693" dn="Z_1CA6CCC9_64EF_4CA9_9C9C_1E572976D134_.wvu.Rows" sId="1"/>
    <undo index="65535" exp="area" ref3D="1" dr="$A$670:$XFD$688" dn="Z_1CA6CCC9_64EF_4CA9_9C9C_1E572976D134_.wvu.Rows" sId="1"/>
    <undo index="65535" exp="area" ref3D="1" dr="$A$655:$XFD$668" dn="Z_1CA6CCC9_64EF_4CA9_9C9C_1E572976D134_.wvu.Rows" sId="1"/>
    <undo index="65535" exp="area" ref3D="1" dr="$A$645:$XFD$653" dn="Z_1CA6CCC9_64EF_4CA9_9C9C_1E572976D134_.wvu.Rows" sId="1"/>
    <undo index="65535" exp="area" ref3D="1" dr="$A$613:$XFD$642" dn="Z_1CA6CCC9_64EF_4CA9_9C9C_1E572976D134_.wvu.Rows" sId="1"/>
    <undo index="65535" exp="area" ref3D="1" dr="$A$592:$XFD$611" dn="Z_1CA6CCC9_64EF_4CA9_9C9C_1E572976D134_.wvu.Rows" sId="1"/>
    <undo index="65535" exp="area" ref3D="1" dr="$A$588:$XFD$590" dn="Z_1CA6CCC9_64EF_4CA9_9C9C_1E572976D134_.wvu.Rows" sId="1"/>
    <undo index="65535" exp="area" ref3D="1" dr="$A$564:$XFD$585" dn="Z_1CA6CCC9_64EF_4CA9_9C9C_1E572976D134_.wvu.Rows" sId="1"/>
    <undo index="65535" exp="area" ref3D="1" dr="$A$547:$XFD$562" dn="Z_1CA6CCC9_64EF_4CA9_9C9C_1E572976D134_.wvu.Rows" sId="1"/>
    <undo index="65535" exp="area" ref3D="1" dr="$A$500:$XFD$544" dn="Z_1CA6CCC9_64EF_4CA9_9C9C_1E572976D134_.wvu.Rows" sId="1"/>
    <undo index="65535" exp="area" ref3D="1" dr="$A$482:$XFD$498" dn="Z_1CA6CCC9_64EF_4CA9_9C9C_1E572976D134_.wvu.Rows" sId="1"/>
    <undo index="65535" exp="area" ref3D="1" dr="$A$466:$XFD$480" dn="Z_1CA6CCC9_64EF_4CA9_9C9C_1E572976D134_.wvu.Rows" sId="1"/>
    <undo index="65535" exp="area" ref3D="1" dr="$A$400:$XFD$464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Создание новых мест в общеобразовательных организациях в связи с ростом числа обучающихся, вызванным демографическим фактором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53050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3" sId="1" ref="A402:XFD402" action="deleteRow">
    <undo index="65535" exp="area" ref3D="1" dr="$A$695:$XFD$697" dn="Z_1CA6CCC9_64EF_4CA9_9C9C_1E572976D134_.wvu.Rows" sId="1"/>
    <undo index="65535" exp="area" ref3D="1" dr="$A$690:$XFD$692" dn="Z_1CA6CCC9_64EF_4CA9_9C9C_1E572976D134_.wvu.Rows" sId="1"/>
    <undo index="65535" exp="area" ref3D="1" dr="$A$669:$XFD$687" dn="Z_1CA6CCC9_64EF_4CA9_9C9C_1E572976D134_.wvu.Rows" sId="1"/>
    <undo index="65535" exp="area" ref3D="1" dr="$A$654:$XFD$667" dn="Z_1CA6CCC9_64EF_4CA9_9C9C_1E572976D134_.wvu.Rows" sId="1"/>
    <undo index="65535" exp="area" ref3D="1" dr="$A$644:$XFD$652" dn="Z_1CA6CCC9_64EF_4CA9_9C9C_1E572976D134_.wvu.Rows" sId="1"/>
    <undo index="65535" exp="area" ref3D="1" dr="$A$612:$XFD$641" dn="Z_1CA6CCC9_64EF_4CA9_9C9C_1E572976D134_.wvu.Rows" sId="1"/>
    <undo index="65535" exp="area" ref3D="1" dr="$A$591:$XFD$610" dn="Z_1CA6CCC9_64EF_4CA9_9C9C_1E572976D134_.wvu.Rows" sId="1"/>
    <undo index="65535" exp="area" ref3D="1" dr="$A$587:$XFD$589" dn="Z_1CA6CCC9_64EF_4CA9_9C9C_1E572976D134_.wvu.Rows" sId="1"/>
    <undo index="65535" exp="area" ref3D="1" dr="$A$563:$XFD$584" dn="Z_1CA6CCC9_64EF_4CA9_9C9C_1E572976D134_.wvu.Rows" sId="1"/>
    <undo index="65535" exp="area" ref3D="1" dr="$A$546:$XFD$561" dn="Z_1CA6CCC9_64EF_4CA9_9C9C_1E572976D134_.wvu.Rows" sId="1"/>
    <undo index="65535" exp="area" ref3D="1" dr="$A$499:$XFD$543" dn="Z_1CA6CCC9_64EF_4CA9_9C9C_1E572976D134_.wvu.Rows" sId="1"/>
    <undo index="65535" exp="area" ref3D="1" dr="$A$481:$XFD$497" dn="Z_1CA6CCC9_64EF_4CA9_9C9C_1E572976D134_.wvu.Rows" sId="1"/>
    <undo index="65535" exp="area" ref3D="1" dr="$A$465:$XFD$479" dn="Z_1CA6CCC9_64EF_4CA9_9C9C_1E572976D134_.wvu.Rows" sId="1"/>
    <undo index="65535" exp="area" ref3D="1" dr="$A$400:$XFD$463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53050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02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402">
        <f>43327.7+592391-592391-43327.7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34" sId="1">
    <oc r="E401">
      <f>#REF!+#REF!+E407</f>
    </oc>
    <nc r="E401">
      <f>+E407</f>
    </nc>
  </rcc>
  <rcc rId="335" sId="1">
    <oc r="F401">
      <f>#REF!+#REF!+F407+F403</f>
    </oc>
    <nc r="F401">
      <f>+F407</f>
    </nc>
  </rcc>
  <rcc rId="336" sId="1">
    <oc r="G401">
      <f>#REF!+#REF!+G407+G403</f>
    </oc>
    <nc r="G401">
      <f>+G407</f>
    </nc>
  </rcc>
  <rcc rId="337" sId="1" numFmtId="4">
    <nc r="F484">
      <v>0</v>
    </nc>
  </rcc>
  <rcc rId="338" sId="1" numFmtId="4">
    <nc r="G484">
      <v>0</v>
    </nc>
  </rcc>
  <rrc rId="339" sId="1" ref="A509:XFD509" action="deleteRow">
    <undo index="65535" exp="ref" v="1" dr="G509" r="G500" sId="1"/>
    <undo index="65535" exp="ref" v="1" dr="F509" r="F500" sId="1"/>
    <undo index="65535" exp="ref" v="1" dr="E509" r="E500" sId="1"/>
    <undo index="65535" exp="area" ref3D="1" dr="$A$694:$XFD$696" dn="Z_1CA6CCC9_64EF_4CA9_9C9C_1E572976D134_.wvu.Rows" sId="1"/>
    <undo index="65535" exp="area" ref3D="1" dr="$A$689:$XFD$691" dn="Z_1CA6CCC9_64EF_4CA9_9C9C_1E572976D134_.wvu.Rows" sId="1"/>
    <undo index="65535" exp="area" ref3D="1" dr="$A$668:$XFD$686" dn="Z_1CA6CCC9_64EF_4CA9_9C9C_1E572976D134_.wvu.Rows" sId="1"/>
    <undo index="65535" exp="area" ref3D="1" dr="$A$653:$XFD$666" dn="Z_1CA6CCC9_64EF_4CA9_9C9C_1E572976D134_.wvu.Rows" sId="1"/>
    <undo index="65535" exp="area" ref3D="1" dr="$A$643:$XFD$651" dn="Z_1CA6CCC9_64EF_4CA9_9C9C_1E572976D134_.wvu.Rows" sId="1"/>
    <undo index="65535" exp="area" ref3D="1" dr="$A$611:$XFD$640" dn="Z_1CA6CCC9_64EF_4CA9_9C9C_1E572976D134_.wvu.Rows" sId="1"/>
    <undo index="65535" exp="area" ref3D="1" dr="$A$590:$XFD$609" dn="Z_1CA6CCC9_64EF_4CA9_9C9C_1E572976D134_.wvu.Rows" sId="1"/>
    <undo index="65535" exp="area" ref3D="1" dr="$A$586:$XFD$588" dn="Z_1CA6CCC9_64EF_4CA9_9C9C_1E572976D134_.wvu.Rows" sId="1"/>
    <undo index="65535" exp="area" ref3D="1" dr="$A$562:$XFD$583" dn="Z_1CA6CCC9_64EF_4CA9_9C9C_1E572976D134_.wvu.Rows" sId="1"/>
    <undo index="65535" exp="area" ref3D="1" dr="$A$545:$XFD$560" dn="Z_1CA6CCC9_64EF_4CA9_9C9C_1E572976D134_.wvu.Rows" sId="1"/>
    <undo index="65535" exp="area" ref3D="1" dr="$A$498:$XFD$542" dn="Z_1CA6CCC9_64EF_4CA9_9C9C_1E572976D134_.wvu.Rows" sId="1"/>
    <rfmt sheetId="1" xfDxf="1" sqref="A509:XFD50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509" t="inlineStr">
        <is>
      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wrapText="1"/>
      </ndxf>
    </rcc>
    <rcc rId="0" sId="1" s="1" dxf="1">
      <nc r="B509" t="inlineStr">
        <is>
          <t>0709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509" t="inlineStr">
        <is>
          <t>04 3 01 89030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509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dxf>
    </rfmt>
    <rcc rId="0" sId="1" s="1" dxf="1">
      <nc r="E509">
        <f>E510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509">
        <f>F510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509">
        <f>G510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40" sId="1" ref="A509:XFD509" action="deleteRow">
    <undo index="65535" exp="area" ref3D="1" dr="$A$693:$XFD$695" dn="Z_1CA6CCC9_64EF_4CA9_9C9C_1E572976D134_.wvu.Rows" sId="1"/>
    <undo index="65535" exp="area" ref3D="1" dr="$A$688:$XFD$690" dn="Z_1CA6CCC9_64EF_4CA9_9C9C_1E572976D134_.wvu.Rows" sId="1"/>
    <undo index="65535" exp="area" ref3D="1" dr="$A$667:$XFD$685" dn="Z_1CA6CCC9_64EF_4CA9_9C9C_1E572976D134_.wvu.Rows" sId="1"/>
    <undo index="65535" exp="area" ref3D="1" dr="$A$652:$XFD$665" dn="Z_1CA6CCC9_64EF_4CA9_9C9C_1E572976D134_.wvu.Rows" sId="1"/>
    <undo index="65535" exp="area" ref3D="1" dr="$A$642:$XFD$650" dn="Z_1CA6CCC9_64EF_4CA9_9C9C_1E572976D134_.wvu.Rows" sId="1"/>
    <undo index="65535" exp="area" ref3D="1" dr="$A$610:$XFD$639" dn="Z_1CA6CCC9_64EF_4CA9_9C9C_1E572976D134_.wvu.Rows" sId="1"/>
    <undo index="65535" exp="area" ref3D="1" dr="$A$589:$XFD$608" dn="Z_1CA6CCC9_64EF_4CA9_9C9C_1E572976D134_.wvu.Rows" sId="1"/>
    <undo index="65535" exp="area" ref3D="1" dr="$A$585:$XFD$587" dn="Z_1CA6CCC9_64EF_4CA9_9C9C_1E572976D134_.wvu.Rows" sId="1"/>
    <undo index="65535" exp="area" ref3D="1" dr="$A$561:$XFD$582" dn="Z_1CA6CCC9_64EF_4CA9_9C9C_1E572976D134_.wvu.Rows" sId="1"/>
    <undo index="65535" exp="area" ref3D="1" dr="$A$544:$XFD$559" dn="Z_1CA6CCC9_64EF_4CA9_9C9C_1E572976D134_.wvu.Rows" sId="1"/>
    <undo index="65535" exp="area" ref3D="1" dr="$A$498:$XFD$541" dn="Z_1CA6CCC9_64EF_4CA9_9C9C_1E572976D134_.wvu.Rows" sId="1"/>
    <rfmt sheetId="1" xfDxf="1" sqref="A509:XFD50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09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wrapText="1"/>
      </ndxf>
    </rcc>
    <rcc rId="0" sId="1" s="1" dxf="1">
      <nc r="B509" t="inlineStr">
        <is>
          <t>0709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509" t="inlineStr">
        <is>
          <t>04 3 01 89030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509" t="inlineStr">
        <is>
          <t>200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E509">
        <f>1817.2-1817.2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509">
        <f>1817.2-1817.2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509">
        <f>1817.2-1817.2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41" sId="1">
    <oc r="E500">
      <f>E503+E506+#REF!+E501</f>
    </oc>
    <nc r="E500">
      <f>E503+E506+E501</f>
    </nc>
  </rcc>
  <rcc rId="342" sId="1">
    <oc r="F500">
      <f>F503+F506+#REF!+F501</f>
    </oc>
    <nc r="F500">
      <f>F503+F506+F501</f>
    </nc>
  </rcc>
  <rcc rId="343" sId="1">
    <oc r="G500">
      <f>G503+G506+#REF!+G501</f>
    </oc>
    <nc r="G500">
      <f>G503+G506+G501</f>
    </nc>
  </rcc>
  <rcc rId="344" sId="1" numFmtId="4">
    <nc r="F527">
      <v>0</v>
    </nc>
  </rcc>
  <rcc rId="345" sId="1" numFmtId="4">
    <nc r="G527">
      <v>0</v>
    </nc>
  </rcc>
  <rcc rId="346" sId="1" odxf="1" s="1" dxf="1">
    <oc r="F531">
      <f>1614.9-60.9</f>
    </oc>
    <nc r="F531">
      <f>1614.9-60.9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64" formatCode="#,##0.0"/>
      <alignment horizontal="center" vertical="top"/>
    </ndxf>
  </rcc>
  <rcc rId="347" sId="1" numFmtId="4">
    <nc r="F547">
      <v>0</v>
    </nc>
  </rcc>
  <rcc rId="348" sId="1" numFmtId="4">
    <nc r="G547">
      <v>0</v>
    </nc>
  </rcc>
  <rcc rId="349" sId="1" numFmtId="4">
    <nc r="F552">
      <v>0</v>
    </nc>
  </rcc>
  <rcc rId="350" sId="1" numFmtId="4">
    <nc r="G552">
      <v>0</v>
    </nc>
  </rcc>
  <rcc rId="351" sId="1" numFmtId="4">
    <nc r="F554">
      <v>0</v>
    </nc>
  </rcc>
  <rcc rId="352" sId="1" numFmtId="4">
    <nc r="G554">
      <v>0</v>
    </nc>
  </rcc>
  <rcc rId="353" sId="1" numFmtId="4">
    <nc r="F655">
      <v>0</v>
    </nc>
  </rcc>
  <rcc rId="354" sId="1" numFmtId="4">
    <nc r="G655">
      <v>0</v>
    </nc>
  </rcc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Rows" hidden="1" oldHidden="1">
    <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$462,рпр!$464:$478,рпр!$480:$496,рпр!$498:$540,рпр!$543:$558,рпр!$560:$581,рпр!$584:$586,рпр!$588:$607,рпр!$609:$638,рпр!$641:$649,рпр!$651:$664,рпр!$666:$684,рпр!$687:$689,рпр!$692:$694</formula>
    <oldFormula>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</oldFormula>
  </rdn>
  <rdn rId="0" localSheetId="1" customView="1" name="Z_2A135292_D5EB_4A8D_A93E_D0B24F2543E0_.wvu.FilterData" hidden="1" oldHidden="1">
    <formula>рпр!$C$3:$C$703</formula>
    <oldFormula>рпр!$D$3:$D$16</oldFormula>
  </rdn>
  <rcv guid="{2A135292-D5EB-4A8D-A93E-D0B24F2543E0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" sId="1">
    <oc r="E281">
      <f>E2810+E287+E289+E284</f>
    </oc>
    <nc r="E281">
      <f>E2810+E287+E289+E284+E282</f>
    </nc>
  </rcc>
  <rcc rId="359" sId="1">
    <oc r="F281">
      <f>F2810+F287+F289+F284</f>
    </oc>
    <nc r="F281">
      <f>F2810+F287+F289+F284+F282</f>
    </nc>
  </rcc>
  <rcc rId="360" sId="1">
    <oc r="G281">
      <f>G2810+G287+G289+G284</f>
    </oc>
    <nc r="G281">
      <f>G2810+G287+G289+G284+G282</f>
    </nc>
  </rcc>
  <rrc rId="361" sId="1" ref="A406:XFD406" action="deleteRow">
    <undo index="65535" exp="ref" v="1" dr="G406" r="G402" sId="1"/>
    <undo index="65535" exp="ref" v="1" dr="F406" r="F402" sId="1"/>
    <undo index="65535" exp="ref" v="1" dr="E406" r="E402" sId="1"/>
    <undo index="65535" exp="area" ref3D="1" dr="$A$692:$XFD$694" dn="Z_2A135292_D5EB_4A8D_A93E_D0B24F2543E0_.wvu.Rows" sId="1"/>
    <undo index="65535" exp="area" ref3D="1" dr="$A$687:$XFD$689" dn="Z_2A135292_D5EB_4A8D_A93E_D0B24F2543E0_.wvu.Rows" sId="1"/>
    <undo index="65535" exp="area" ref3D="1" dr="$A$666:$XFD$684" dn="Z_2A135292_D5EB_4A8D_A93E_D0B24F2543E0_.wvu.Rows" sId="1"/>
    <undo index="65535" exp="area" ref3D="1" dr="$A$651:$XFD$664" dn="Z_2A135292_D5EB_4A8D_A93E_D0B24F2543E0_.wvu.Rows" sId="1"/>
    <undo index="65535" exp="area" ref3D="1" dr="$A$641:$XFD$649" dn="Z_2A135292_D5EB_4A8D_A93E_D0B24F2543E0_.wvu.Rows" sId="1"/>
    <undo index="65535" exp="area" ref3D="1" dr="$A$609:$XFD$638" dn="Z_2A135292_D5EB_4A8D_A93E_D0B24F2543E0_.wvu.Rows" sId="1"/>
    <undo index="65535" exp="area" ref3D="1" dr="$A$588:$XFD$607" dn="Z_2A135292_D5EB_4A8D_A93E_D0B24F2543E0_.wvu.Rows" sId="1"/>
    <undo index="65535" exp="area" ref3D="1" dr="$A$584:$XFD$586" dn="Z_2A135292_D5EB_4A8D_A93E_D0B24F2543E0_.wvu.Rows" sId="1"/>
    <undo index="65535" exp="area" ref3D="1" dr="$A$560:$XFD$581" dn="Z_2A135292_D5EB_4A8D_A93E_D0B24F2543E0_.wvu.Rows" sId="1"/>
    <undo index="65535" exp="area" ref3D="1" dr="$A$543:$XFD$558" dn="Z_2A135292_D5EB_4A8D_A93E_D0B24F2543E0_.wvu.Rows" sId="1"/>
    <undo index="65535" exp="area" ref3D="1" dr="$A$498:$XFD$540" dn="Z_2A135292_D5EB_4A8D_A93E_D0B24F2543E0_.wvu.Rows" sId="1"/>
    <undo index="65535" exp="area" ref3D="1" dr="$A$480:$XFD$496" dn="Z_2A135292_D5EB_4A8D_A93E_D0B24F2543E0_.wvu.Rows" sId="1"/>
    <undo index="65535" exp="area" ref3D="1" dr="$A$464:$XFD$478" dn="Z_2A135292_D5EB_4A8D_A93E_D0B24F2543E0_.wvu.Rows" sId="1"/>
    <undo index="65535" exp="area" ref3D="1" dr="$A$400:$XFD$462" dn="Z_2A135292_D5EB_4A8D_A93E_D0B24F2543E0_.wvu.Rows" sId="1"/>
    <undo index="65535" exp="area" ref3D="1" dr="$A$692:$XFD$694" dn="Z_1CA6CCC9_64EF_4CA9_9C9C_1E572976D134_.wvu.Rows" sId="1"/>
    <undo index="65535" exp="area" ref3D="1" dr="$A$687:$XFD$689" dn="Z_1CA6CCC9_64EF_4CA9_9C9C_1E572976D134_.wvu.Rows" sId="1"/>
    <undo index="65535" exp="area" ref3D="1" dr="$A$666:$XFD$684" dn="Z_1CA6CCC9_64EF_4CA9_9C9C_1E572976D134_.wvu.Rows" sId="1"/>
    <undo index="65535" exp="area" ref3D="1" dr="$A$651:$XFD$664" dn="Z_1CA6CCC9_64EF_4CA9_9C9C_1E572976D134_.wvu.Rows" sId="1"/>
    <undo index="65535" exp="area" ref3D="1" dr="$A$641:$XFD$649" dn="Z_1CA6CCC9_64EF_4CA9_9C9C_1E572976D134_.wvu.Rows" sId="1"/>
    <undo index="65535" exp="area" ref3D="1" dr="$A$609:$XFD$638" dn="Z_1CA6CCC9_64EF_4CA9_9C9C_1E572976D134_.wvu.Rows" sId="1"/>
    <undo index="65535" exp="area" ref3D="1" dr="$A$588:$XFD$607" dn="Z_1CA6CCC9_64EF_4CA9_9C9C_1E572976D134_.wvu.Rows" sId="1"/>
    <undo index="65535" exp="area" ref3D="1" dr="$A$584:$XFD$586" dn="Z_1CA6CCC9_64EF_4CA9_9C9C_1E572976D134_.wvu.Rows" sId="1"/>
    <undo index="65535" exp="area" ref3D="1" dr="$A$560:$XFD$581" dn="Z_1CA6CCC9_64EF_4CA9_9C9C_1E572976D134_.wvu.Rows" sId="1"/>
    <undo index="65535" exp="area" ref3D="1" dr="$A$543:$XFD$558" dn="Z_1CA6CCC9_64EF_4CA9_9C9C_1E572976D134_.wvu.Rows" sId="1"/>
    <undo index="65535" exp="area" ref3D="1" dr="$A$498:$XFD$540" dn="Z_1CA6CCC9_64EF_4CA9_9C9C_1E572976D134_.wvu.Rows" sId="1"/>
    <undo index="65535" exp="area" ref3D="1" dr="$A$480:$XFD$496" dn="Z_1CA6CCC9_64EF_4CA9_9C9C_1E572976D134_.wvu.Rows" sId="1"/>
    <undo index="65535" exp="area" ref3D="1" dr="$A$464:$XFD$478" dn="Z_1CA6CCC9_64EF_4CA9_9C9C_1E572976D134_.wvu.Rows" sId="1"/>
    <undo index="65535" exp="area" ref3D="1" dr="$A$400:$XFD$462" dn="Z_1CA6CCC9_64EF_4CA9_9C9C_1E572976D134_.wvu.Rows" sId="1"/>
    <rfmt sheetId="1" xfDxf="1" sqref="A406:XFD40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6" t="inlineStr">
        <is>
          <t>Муниципальный проект "Педагоги и наставники"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6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6" t="inlineStr">
        <is>
          <t>04 1 Ю6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6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6">
        <f>E407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406">
        <f>F407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06">
        <f>G407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cc rId="362" sId="1">
    <oc r="E402">
      <f>E403+#REF!</f>
    </oc>
    <nc r="E402">
      <f>E403</f>
    </nc>
  </rcc>
  <rcc rId="363" sId="1" odxf="1" s="1" dxf="1">
    <oc r="F402">
      <f>F403+#REF!</f>
    </oc>
    <nc r="F402">
      <f>F403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64" sId="1" odxf="1" s="1" dxf="1">
    <oc r="G402">
      <f>G403+#REF!</f>
    </oc>
    <nc r="G402">
      <f>G403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65" sId="1">
    <oc r="F406">
      <f>F407+F409+F411</f>
    </oc>
    <nc r="F406">
      <f>F407+F409+F411</f>
    </nc>
  </rcc>
  <rcc rId="366" sId="1">
    <oc r="G406">
      <f>G407+G409+G411</f>
    </oc>
    <nc r="G406">
      <f>G407+G409+G411</f>
    </nc>
  </rcc>
  <rcc rId="367" sId="1">
    <oc r="E401">
      <f>+E407</f>
    </oc>
    <nc r="E401">
      <f>E402+E406</f>
    </nc>
  </rcc>
  <rcc rId="368" sId="1">
    <oc r="F400">
      <f>F401+F424+F414</f>
    </oc>
    <nc r="F400">
      <f>F401+F423+F413</f>
    </nc>
  </rcc>
  <rcc rId="369" sId="1">
    <oc r="G400">
      <f>G401+G424+G414</f>
    </oc>
    <nc r="G400">
      <f>G401+G423+G413</f>
    </nc>
  </rcc>
  <rcc rId="370" sId="1">
    <oc r="F401">
      <f>+F407</f>
    </oc>
    <nc r="F401">
      <f>F402+F406</f>
    </nc>
  </rcc>
  <rcc rId="371" sId="1">
    <oc r="G401">
      <f>+G407</f>
    </oc>
    <nc r="G401">
      <f>G402+G406</f>
    </nc>
  </rcc>
  <rfmt sheetId="1" sqref="A1:XFD1048576">
    <dxf>
      <fill>
        <patternFill patternType="none">
          <bgColor auto="1"/>
        </patternFill>
      </fill>
    </dxf>
  </rfmt>
  <rfmt sheetId="1" sqref="A1:XFD1048576" start="0" length="2147483647">
    <dxf>
      <font>
        <color auto="1"/>
      </font>
    </dxf>
  </rfmt>
  <rdn rId="0" localSheetId="1" customView="1" name="Z_2A135292_D5EB_4A8D_A93E_D0B24F2543E0_.wvu.Rows" hidden="1" oldHidden="1">
    <old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FilterData" hidden="1" oldHidden="1">
    <formula>рпр!$C$3:$C$702</formula>
    <oldFormula>рпр!$C$3:$C$702</oldFormula>
  </rdn>
  <rcv guid="{2A135292-D5EB-4A8D-A93E-D0B24F2543E0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7" start="0" length="0">
    <dxf>
      <numFmt numFmtId="0" formatCode="General"/>
      <alignment vertical="top"/>
      <border outline="0">
        <left/>
        <right/>
        <top/>
        <bottom/>
      </border>
    </dxf>
  </rfmt>
  <rfmt sheetId="1" s="1" sqref="A415" start="0" length="0">
    <dxf>
      <numFmt numFmtId="1" formatCode="0"/>
      <alignment vertical="top"/>
      <border outline="0">
        <left/>
        <right/>
        <top/>
        <bottom/>
      </border>
    </dxf>
  </rfmt>
  <rfmt sheetId="1" s="1" sqref="A437" start="0" length="0">
    <dxf>
      <numFmt numFmtId="0" formatCode="General"/>
      <alignment horizontal="general" vertical="bottom"/>
      <border outline="0">
        <left/>
        <right/>
        <top/>
        <bottom/>
      </border>
    </dxf>
  </rfmt>
  <rfmt sheetId="1" sqref="A449" start="0" length="0">
    <dxf>
      <numFmt numFmtId="1" formatCode="0"/>
      <alignment vertical="top"/>
      <border outline="0">
        <left/>
        <right/>
        <top/>
        <bottom/>
      </border>
    </dxf>
  </rfmt>
  <rcc rId="375" sId="1" numFmtId="4">
    <oc r="E697">
      <v>13048597.799999999</v>
    </oc>
    <nc r="E697"/>
  </rcc>
  <rcc rId="376" sId="1" numFmtId="4">
    <oc r="F697">
      <v>13623666.300000001</v>
    </oc>
    <nc r="F697"/>
  </rcc>
  <rcc rId="377" sId="1">
    <oc r="G697">
      <v>12736436.499999998</v>
    </oc>
    <nc r="G697"/>
  </rcc>
  <rcc rId="378" sId="1">
    <oc r="E698">
      <f>E697-E695</f>
    </oc>
    <nc r="E698"/>
  </rcc>
  <rcc rId="379" sId="1">
    <oc r="F698">
      <f>F697-F695</f>
    </oc>
    <nc r="F698"/>
  </rcc>
  <rcc rId="380" sId="1">
    <oc r="G698">
      <f>G697-G695</f>
    </oc>
    <nc r="G698"/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" sId="1">
    <oc r="A143" t="inlineStr">
      <is>
    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    </is>
    </oc>
    <nc r="A143" t="inlineStr">
      <is>
    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    </is>
    </nc>
  </rcc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рпр!$C$3:$C$702</formula>
    <oldFormula>рпр!$C$3:$C$702</oldFormula>
  </rdn>
  <rcv guid="{61C84D61-2D1A-4C38-8F3E-B87673D547A5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" sId="1">
    <oc r="C145" t="inlineStr">
      <is>
        <t>02 1 И8 SД110</t>
      </is>
    </oc>
    <nc r="C145" t="inlineStr">
      <is>
        <t>02 1 И8 9Д110</t>
      </is>
    </nc>
  </rcc>
  <rcc rId="385" sId="1">
    <oc r="C146" t="inlineStr">
      <is>
        <t>02 1 И8 SД110</t>
      </is>
    </oc>
    <nc r="C146" t="inlineStr">
      <is>
        <t>02 1 И8 9Д110</t>
      </is>
    </nc>
  </rcc>
  <rcc rId="386" sId="1">
    <oc r="A228" t="inlineStr">
      <is>
        <t>Муниципальный проект города Благовещенска "Модернизация коммунальной инфраструктуры"</t>
      </is>
    </oc>
    <nc r="A228" t="inlineStr">
      <is>
        <t>Муниципальный проект города Благовещенска "Развитие систем коммунальной инфраструктуры"</t>
      </is>
    </nc>
  </rcc>
  <rcc rId="387" sId="1">
    <oc r="A613" t="inlineStr">
      <is>
        <t>Обеспечение детей-сирот и детей, оставшихся без попечения родителей, лиц из числа детей-сирот и детей, оставшихся пез попечения родителей, жилыми помещениями</t>
      </is>
    </oc>
    <nc r="A613" t="inlineStr">
      <is>
    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" sId="1" ref="A435:XFD435" action="insertRow">
    <undo index="65535" exp="area" ref3D="1" dr="$A$724:$XFD$726" dn="Z_1CA6CCC9_64EF_4CA9_9C9C_1E572976D134_.wvu.Rows" sId="1"/>
    <undo index="65535" exp="area" ref3D="1" dr="$A$719:$XFD$721" dn="Z_1CA6CCC9_64EF_4CA9_9C9C_1E572976D134_.wvu.Rows" sId="1"/>
    <undo index="65535" exp="area" ref3D="1" dr="$A$698:$XFD$716" dn="Z_1CA6CCC9_64EF_4CA9_9C9C_1E572976D134_.wvu.Rows" sId="1"/>
    <undo index="65535" exp="area" ref3D="1" dr="$A$683:$XFD$696" dn="Z_1CA6CCC9_64EF_4CA9_9C9C_1E572976D134_.wvu.Rows" sId="1"/>
    <undo index="65535" exp="area" ref3D="1" dr="$A$673:$XFD$681" dn="Z_1CA6CCC9_64EF_4CA9_9C9C_1E572976D134_.wvu.Rows" sId="1"/>
    <undo index="65535" exp="area" ref3D="1" dr="$A$641:$XFD$670" dn="Z_1CA6CCC9_64EF_4CA9_9C9C_1E572976D134_.wvu.Rows" sId="1"/>
    <undo index="65535" exp="area" ref3D="1" dr="$A$620:$XFD$639" dn="Z_1CA6CCC9_64EF_4CA9_9C9C_1E572976D134_.wvu.Rows" sId="1"/>
    <undo index="65535" exp="area" ref3D="1" dr="$A$616:$XFD$618" dn="Z_1CA6CCC9_64EF_4CA9_9C9C_1E572976D134_.wvu.Rows" sId="1"/>
    <undo index="65535" exp="area" ref3D="1" dr="$A$592:$XFD$613" dn="Z_1CA6CCC9_64EF_4CA9_9C9C_1E572976D134_.wvu.Rows" sId="1"/>
    <undo index="65535" exp="area" ref3D="1" dr="$A$575:$XFD$590" dn="Z_1CA6CCC9_64EF_4CA9_9C9C_1E572976D134_.wvu.Rows" sId="1"/>
    <undo index="65535" exp="area" ref3D="1" dr="$A$528:$XFD$572" dn="Z_1CA6CCC9_64EF_4CA9_9C9C_1E572976D134_.wvu.Rows" sId="1"/>
    <undo index="65535" exp="area" ref3D="1" dr="$A$510:$XFD$526" dn="Z_1CA6CCC9_64EF_4CA9_9C9C_1E572976D134_.wvu.Rows" sId="1"/>
    <undo index="65535" exp="area" ref3D="1" dr="$A$494:$XFD$508" dn="Z_1CA6CCC9_64EF_4CA9_9C9C_1E572976D134_.wvu.Rows" sId="1"/>
    <undo index="65535" exp="area" ref3D="1" dr="$A$427:$XFD$492" dn="Z_1CA6CCC9_64EF_4CA9_9C9C_1E572976D134_.wvu.Rows" sId="1"/>
  </rrc>
  <rrc rId="23" sId="1" ref="A435:XFD435" action="insertRow">
    <undo index="65535" exp="area" ref3D="1" dr="$A$725:$XFD$727" dn="Z_1CA6CCC9_64EF_4CA9_9C9C_1E572976D134_.wvu.Rows" sId="1"/>
    <undo index="65535" exp="area" ref3D="1" dr="$A$720:$XFD$722" dn="Z_1CA6CCC9_64EF_4CA9_9C9C_1E572976D134_.wvu.Rows" sId="1"/>
    <undo index="65535" exp="area" ref3D="1" dr="$A$699:$XFD$717" dn="Z_1CA6CCC9_64EF_4CA9_9C9C_1E572976D134_.wvu.Rows" sId="1"/>
    <undo index="65535" exp="area" ref3D="1" dr="$A$684:$XFD$697" dn="Z_1CA6CCC9_64EF_4CA9_9C9C_1E572976D134_.wvu.Rows" sId="1"/>
    <undo index="65535" exp="area" ref3D="1" dr="$A$674:$XFD$682" dn="Z_1CA6CCC9_64EF_4CA9_9C9C_1E572976D134_.wvu.Rows" sId="1"/>
    <undo index="65535" exp="area" ref3D="1" dr="$A$642:$XFD$671" dn="Z_1CA6CCC9_64EF_4CA9_9C9C_1E572976D134_.wvu.Rows" sId="1"/>
    <undo index="65535" exp="area" ref3D="1" dr="$A$621:$XFD$640" dn="Z_1CA6CCC9_64EF_4CA9_9C9C_1E572976D134_.wvu.Rows" sId="1"/>
    <undo index="65535" exp="area" ref3D="1" dr="$A$617:$XFD$619" dn="Z_1CA6CCC9_64EF_4CA9_9C9C_1E572976D134_.wvu.Rows" sId="1"/>
    <undo index="65535" exp="area" ref3D="1" dr="$A$593:$XFD$614" dn="Z_1CA6CCC9_64EF_4CA9_9C9C_1E572976D134_.wvu.Rows" sId="1"/>
    <undo index="65535" exp="area" ref3D="1" dr="$A$576:$XFD$591" dn="Z_1CA6CCC9_64EF_4CA9_9C9C_1E572976D134_.wvu.Rows" sId="1"/>
    <undo index="65535" exp="area" ref3D="1" dr="$A$529:$XFD$573" dn="Z_1CA6CCC9_64EF_4CA9_9C9C_1E572976D134_.wvu.Rows" sId="1"/>
    <undo index="65535" exp="area" ref3D="1" dr="$A$511:$XFD$527" dn="Z_1CA6CCC9_64EF_4CA9_9C9C_1E572976D134_.wvu.Rows" sId="1"/>
    <undo index="65535" exp="area" ref3D="1" dr="$A$495:$XFD$509" dn="Z_1CA6CCC9_64EF_4CA9_9C9C_1E572976D134_.wvu.Rows" sId="1"/>
    <undo index="65535" exp="area" ref3D="1" dr="$A$427:$XFD$493" dn="Z_1CA6CCC9_64EF_4CA9_9C9C_1E572976D134_.wvu.Rows" sId="1"/>
  </rrc>
  <rfmt sheetId="1" sqref="E434:E436">
    <dxf>
      <fill>
        <patternFill patternType="none">
          <bgColor auto="1"/>
        </patternFill>
      </fill>
    </dxf>
  </rfmt>
  <rrc rId="24" sId="1" ref="A435:XFD435" action="insertRow">
    <undo index="65535" exp="area" ref3D="1" dr="$A$726:$XFD$728" dn="Z_1CA6CCC9_64EF_4CA9_9C9C_1E572976D134_.wvu.Rows" sId="1"/>
    <undo index="65535" exp="area" ref3D="1" dr="$A$721:$XFD$723" dn="Z_1CA6CCC9_64EF_4CA9_9C9C_1E572976D134_.wvu.Rows" sId="1"/>
    <undo index="65535" exp="area" ref3D="1" dr="$A$700:$XFD$718" dn="Z_1CA6CCC9_64EF_4CA9_9C9C_1E572976D134_.wvu.Rows" sId="1"/>
    <undo index="65535" exp="area" ref3D="1" dr="$A$685:$XFD$698" dn="Z_1CA6CCC9_64EF_4CA9_9C9C_1E572976D134_.wvu.Rows" sId="1"/>
    <undo index="65535" exp="area" ref3D="1" dr="$A$675:$XFD$683" dn="Z_1CA6CCC9_64EF_4CA9_9C9C_1E572976D134_.wvu.Rows" sId="1"/>
    <undo index="65535" exp="area" ref3D="1" dr="$A$643:$XFD$672" dn="Z_1CA6CCC9_64EF_4CA9_9C9C_1E572976D134_.wvu.Rows" sId="1"/>
    <undo index="65535" exp="area" ref3D="1" dr="$A$622:$XFD$641" dn="Z_1CA6CCC9_64EF_4CA9_9C9C_1E572976D134_.wvu.Rows" sId="1"/>
    <undo index="65535" exp="area" ref3D="1" dr="$A$618:$XFD$620" dn="Z_1CA6CCC9_64EF_4CA9_9C9C_1E572976D134_.wvu.Rows" sId="1"/>
    <undo index="65535" exp="area" ref3D="1" dr="$A$594:$XFD$615" dn="Z_1CA6CCC9_64EF_4CA9_9C9C_1E572976D134_.wvu.Rows" sId="1"/>
    <undo index="65535" exp="area" ref3D="1" dr="$A$577:$XFD$592" dn="Z_1CA6CCC9_64EF_4CA9_9C9C_1E572976D134_.wvu.Rows" sId="1"/>
    <undo index="65535" exp="area" ref3D="1" dr="$A$530:$XFD$574" dn="Z_1CA6CCC9_64EF_4CA9_9C9C_1E572976D134_.wvu.Rows" sId="1"/>
    <undo index="65535" exp="area" ref3D="1" dr="$A$512:$XFD$528" dn="Z_1CA6CCC9_64EF_4CA9_9C9C_1E572976D134_.wvu.Rows" sId="1"/>
    <undo index="65535" exp="area" ref3D="1" dr="$A$496:$XFD$510" dn="Z_1CA6CCC9_64EF_4CA9_9C9C_1E572976D134_.wvu.Rows" sId="1"/>
    <undo index="65535" exp="area" ref3D="1" dr="$A$427:$XFD$494" dn="Z_1CA6CCC9_64EF_4CA9_9C9C_1E572976D134_.wvu.Rows" sId="1"/>
  </rrc>
  <rcc rId="25" sId="1" xfDxf="1" s="1" dxf="1">
    <nc r="A435" t="inlineStr">
      <is>
        <t>Муниципальный проект "Все лучшее детям"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6" sId="1" xfDxf="1" s="1" dxf="1">
    <nc r="B435" t="inlineStr">
      <is>
        <t>0702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7" sId="1">
    <nc r="C435" t="inlineStr">
      <is>
        <t>04 1 Ю4 5750П</t>
      </is>
    </nc>
  </rcc>
  <rcc rId="28" sId="1">
    <nc r="A436" t="inlineStr">
      <is>
        <t>Предоставление субсидий бюджетным, автономным учреждениям и иным некоммерческим организациям</t>
      </is>
    </nc>
  </rcc>
  <rcc rId="29" sId="1">
    <nc r="B436" t="inlineStr">
      <is>
        <t>0702</t>
      </is>
    </nc>
  </rcc>
  <rcc rId="30" sId="1" xfDxf="1" s="1" dxf="1">
    <nc r="C436" t="inlineStr">
      <is>
        <t>04 1 Ю4 5750П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1" sId="1">
    <nc r="D436">
      <v>600</v>
    </nc>
  </rcc>
  <rcc rId="32" sId="1" odxf="1" s="1" dxf="1" numFmtId="4">
    <nc r="F436">
      <v>19313.5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3" sId="1" odxf="1" s="1" dxf="1" numFmtId="4">
    <nc r="G436">
      <v>117858.70000000001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rc rId="34" sId="1" ref="A436:XFD436" action="insertRow">
    <undo index="65535" exp="area" ref3D="1" dr="$A$727:$XFD$729" dn="Z_1CA6CCC9_64EF_4CA9_9C9C_1E572976D134_.wvu.Rows" sId="1"/>
    <undo index="65535" exp="area" ref3D="1" dr="$A$722:$XFD$724" dn="Z_1CA6CCC9_64EF_4CA9_9C9C_1E572976D134_.wvu.Rows" sId="1"/>
    <undo index="65535" exp="area" ref3D="1" dr="$A$701:$XFD$719" dn="Z_1CA6CCC9_64EF_4CA9_9C9C_1E572976D134_.wvu.Rows" sId="1"/>
    <undo index="65535" exp="area" ref3D="1" dr="$A$686:$XFD$699" dn="Z_1CA6CCC9_64EF_4CA9_9C9C_1E572976D134_.wvu.Rows" sId="1"/>
    <undo index="65535" exp="area" ref3D="1" dr="$A$676:$XFD$684" dn="Z_1CA6CCC9_64EF_4CA9_9C9C_1E572976D134_.wvu.Rows" sId="1"/>
    <undo index="65535" exp="area" ref3D="1" dr="$A$644:$XFD$673" dn="Z_1CA6CCC9_64EF_4CA9_9C9C_1E572976D134_.wvu.Rows" sId="1"/>
    <undo index="65535" exp="area" ref3D="1" dr="$A$623:$XFD$642" dn="Z_1CA6CCC9_64EF_4CA9_9C9C_1E572976D134_.wvu.Rows" sId="1"/>
    <undo index="65535" exp="area" ref3D="1" dr="$A$619:$XFD$621" dn="Z_1CA6CCC9_64EF_4CA9_9C9C_1E572976D134_.wvu.Rows" sId="1"/>
    <undo index="65535" exp="area" ref3D="1" dr="$A$595:$XFD$616" dn="Z_1CA6CCC9_64EF_4CA9_9C9C_1E572976D134_.wvu.Rows" sId="1"/>
    <undo index="65535" exp="area" ref3D="1" dr="$A$578:$XFD$593" dn="Z_1CA6CCC9_64EF_4CA9_9C9C_1E572976D134_.wvu.Rows" sId="1"/>
    <undo index="65535" exp="area" ref3D="1" dr="$A$531:$XFD$575" dn="Z_1CA6CCC9_64EF_4CA9_9C9C_1E572976D134_.wvu.Rows" sId="1"/>
    <undo index="65535" exp="area" ref3D="1" dr="$A$513:$XFD$529" dn="Z_1CA6CCC9_64EF_4CA9_9C9C_1E572976D134_.wvu.Rows" sId="1"/>
    <undo index="65535" exp="area" ref3D="1" dr="$A$497:$XFD$511" dn="Z_1CA6CCC9_64EF_4CA9_9C9C_1E572976D134_.wvu.Rows" sId="1"/>
    <undo index="65535" exp="area" ref3D="1" dr="$A$427:$XFD$495" dn="Z_1CA6CCC9_64EF_4CA9_9C9C_1E572976D134_.wvu.Rows" sId="1"/>
  </rrc>
  <rcc rId="35" sId="1">
    <nc r="A436" t="inlineStr">
      <is>
    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    </is>
    </nc>
  </rcc>
  <rcc rId="36" sId="1">
    <nc r="B436" t="inlineStr">
      <is>
        <t>0702</t>
      </is>
    </nc>
  </rcc>
  <rcc rId="37" sId="1" xfDxf="1" s="1" dxf="1">
    <nc r="C436" t="inlineStr">
      <is>
        <t>04 1 Ю4 5750П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8" sId="1" odxf="1" s="1" dxf="1" numFmtId="4">
    <nc r="F436">
      <v>19313.5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9" sId="1" odxf="1" s="1" dxf="1" numFmtId="4">
    <nc r="G436">
      <v>117858.70000000001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40" sId="1" numFmtId="4">
    <nc r="E437">
      <v>0</v>
    </nc>
  </rcc>
  <rcc rId="41" sId="1">
    <nc r="E435">
      <f>E436</f>
    </nc>
  </rcc>
  <rcc rId="42" sId="1">
    <nc r="F435">
      <f>F436</f>
    </nc>
  </rcc>
  <rcc rId="43" sId="1">
    <nc r="G435">
      <f>G436</f>
    </nc>
  </rcc>
  <rcc rId="44" sId="1">
    <oc r="F428">
      <f>F429+F432+F439</f>
    </oc>
    <nc r="F428">
      <f>F429+F432+F439</f>
    </nc>
  </rcc>
  <rcc rId="45" sId="1">
    <oc r="G428">
      <f>G429+G432+G439</f>
    </oc>
    <nc r="G428">
      <f>G429+G432+G439</f>
    </nc>
  </rcc>
  <rcc rId="46" sId="1">
    <nc r="A438" t="inlineStr">
      <is>
        <t>Муниципальный проект "Педагоги и наставники"</t>
      </is>
    </nc>
  </rcc>
  <rcc rId="47" sId="1" xfDxf="1" s="1" dxf="1">
    <nc r="B438" t="inlineStr">
      <is>
        <t>0702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48" sId="1" xfDxf="1" s="1" dxf="1">
    <nc r="C438" t="inlineStr">
      <is>
        <t>04 1 Ю6 00000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49" sId="1">
    <nc r="E438">
      <f>E439</f>
    </nc>
  </rcc>
  <rcc rId="50" sId="1" odxf="1" s="1" dxf="1" numFmtId="4">
    <nc r="F441">
      <v>2460.8000000000002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1" sId="1" odxf="1" s="1" dxf="1" numFmtId="4">
    <nc r="G441">
      <v>2460.8000000000002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2" sId="1" odxf="1" s="1" dxf="1">
    <nc r="F438">
      <f>F439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53" sId="1" odxf="1" s="1" dxf="1">
    <nc r="G438">
      <f>G439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54" sId="1" odxf="1" s="1" dxf="1" numFmtId="4">
    <nc r="F443">
      <v>7844.0000000000009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5" sId="1" odxf="1" s="1" dxf="1" numFmtId="4">
    <nc r="G443">
      <v>7844.0000000000009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рпр!$C$3:$C$739</formula>
    <oldFormula>рпр!$D$3:$D$16</oldFormula>
  </rdn>
  <rcv guid="{61C84D61-2D1A-4C38-8F3E-B87673D547A5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A6CCC9_64EF_4CA9_9C9C_1E572976D134_.wvu.Rows" hidden="1" oldHidden="1">
    <old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" sId="1">
    <oc r="E9" t="inlineStr">
      <is>
        <t>на 2025 год</t>
      </is>
    </oc>
    <nc r="E9" t="inlineStr">
      <is>
        <t xml:space="preserve"> 2025 год</t>
      </is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A6CCC9_64EF_4CA9_9C9C_1E572976D134_.wvu.Rows" hidden="1" oldHidden="1">
    <oldFormula>рпр!$12:$14,рпр!$16:$27,рпр!$29:$45,рпр!$47:$50,рпр!$52:$56,рпр!$58:$60,рпр!$62:$66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41:XFD644">
    <dxf>
      <fill>
        <patternFill patternType="solid">
          <bgColor rgb="FFFFFF00"/>
        </patternFill>
      </fill>
    </dxf>
  </rfmt>
  <rfmt sheetId="1" sqref="A534:G534">
    <dxf>
      <fill>
        <patternFill patternType="solid">
          <bgColor rgb="FFFFFF00"/>
        </patternFill>
      </fill>
    </dxf>
  </rfmt>
  <rfmt sheetId="1" sqref="A535:G535">
    <dxf>
      <fill>
        <patternFill patternType="solid">
          <bgColor rgb="FFFFFF00"/>
        </patternFill>
      </fill>
    </dxf>
  </rfmt>
  <rfmt sheetId="1" sqref="A386:G386">
    <dxf>
      <fill>
        <patternFill patternType="solid">
          <bgColor rgb="FFFFFF00"/>
        </patternFill>
      </fill>
    </dxf>
  </rfmt>
  <rfmt sheetId="1" sqref="A382:G382">
    <dxf>
      <fill>
        <patternFill patternType="solid">
          <bgColor rgb="FFFFFF00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рпр!$C$3:$C$702</formula>
    <oldFormula>рпр!$C$3:$C$702</oldFormula>
  </rdn>
  <rcv guid="{61C84D61-2D1A-4C38-8F3E-B87673D547A5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" sId="1">
    <oc r="F380">
      <f>F381+F387+F385</f>
    </oc>
    <nc r="F380">
      <f>F381+F387</f>
    </nc>
  </rcc>
  <rcc rId="403" sId="1">
    <oc r="G380">
      <f>G381+G387+G385</f>
    </oc>
    <nc r="G380">
      <f>G381+G387</f>
    </nc>
  </rcc>
  <rcc rId="404" sId="1">
    <oc r="F382">
      <f>F383</f>
    </oc>
    <nc r="F382">
      <f>F383</f>
    </nc>
  </rcc>
  <rcc rId="405" sId="1">
    <oc r="G382">
      <f>G383</f>
    </oc>
    <nc r="G382">
      <f>G383</f>
    </nc>
  </rcc>
  <rcc rId="406" sId="1">
    <oc r="E381">
      <f>E382</f>
    </oc>
    <nc r="E381">
      <f>E382+E385</f>
    </nc>
  </rcc>
  <rcc rId="407" sId="1">
    <oc r="F381">
      <f>F382</f>
    </oc>
    <nc r="F381">
      <f>F382+F385</f>
    </nc>
  </rcc>
  <rcc rId="408" sId="1">
    <oc r="G381">
      <f>G382</f>
    </oc>
    <nc r="G381">
      <f>G382+G385</f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рпр!$A$7:$G$693</formula>
    <oldFormula>рпр!$C$3:$C$702</oldFormula>
  </rdn>
  <rcv guid="{1CA6CCC9-64EF-4CA9-9C9C-1E572976D134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" sId="1" numFmtId="4">
    <oc r="E535">
      <v>2644.9</v>
    </oc>
    <nc r="E535">
      <f>2644.9+903</f>
    </nc>
  </rcc>
  <rcc rId="412" sId="1">
    <oc r="E534">
      <f>103993+903</f>
    </oc>
    <nc r="E534">
      <f>103993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" sId="1" numFmtId="4">
    <oc r="F535">
      <f>E535</f>
    </oc>
    <nc r="F535">
      <v>2644.9</v>
    </nc>
  </rcc>
  <rcc rId="414" sId="1" numFmtId="4">
    <oc r="G535">
      <f>E535</f>
    </oc>
    <nc r="G535">
      <v>2644.9</v>
    </nc>
  </rcc>
  <rcc rId="415" sId="1">
    <oc r="E640">
      <f>E641+E645</f>
    </oc>
    <nc r="E640">
      <f>+E645</f>
    </nc>
  </rcc>
  <rcc rId="416" sId="1">
    <oc r="F640">
      <f>F641+F645</f>
    </oc>
    <nc r="F640">
      <f>+F645</f>
    </nc>
  </rcc>
  <rcc rId="417" sId="1">
    <oc r="G640">
      <f>G641+G645</f>
    </oc>
    <nc r="G640">
      <f>+G645</f>
    </nc>
  </rcc>
  <rrc rId="418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Муниципальные проекты города Благовещенска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06 2 00 00000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19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06 2 02 00000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20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Реализация мероприятий в сфере реабилитации и абилитации инвалидов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L5140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21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L5140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641">
        <v>600</v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s="1" dxf="1">
      <nc r="E641">
        <f>821.4-821.4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64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64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" sId="1">
    <oc r="E381">
      <f>E382+E385</f>
    </oc>
    <nc r="E381">
      <f>E382</f>
    </nc>
  </rcc>
  <rcc rId="423" sId="1">
    <oc r="F381">
      <f>F382+F385</f>
    </oc>
    <nc r="F381">
      <f>F382</f>
    </nc>
  </rcc>
  <rcc rId="424" sId="1">
    <oc r="G381">
      <f>G382+G385</f>
    </oc>
    <nc r="G381">
      <f>G382</f>
    </nc>
  </rcc>
  <rcc rId="425" sId="1">
    <oc r="E382">
      <f>E383</f>
    </oc>
    <nc r="E382">
      <f>E383+E385</f>
    </nc>
  </rcc>
  <rcc rId="426" sId="1">
    <oc r="F382">
      <f>F383</f>
    </oc>
    <nc r="F382">
      <f>F383+F385</f>
    </nc>
  </rcc>
  <rcc rId="427" sId="1">
    <oc r="G382">
      <f>G383</f>
    </oc>
    <nc r="G382">
      <f>G383+G385</f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рпр!$A$7:$G$689</formula>
    <oldFormula>рпр!$A$7:$G$689</oldFormula>
  </rdn>
  <rcv guid="{1CA6CCC9-64EF-4CA9-9C9C-1E572976D13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82:G382">
    <dxf>
      <fill>
        <patternFill patternType="none">
          <bgColor auto="1"/>
        </patternFill>
      </fill>
    </dxf>
  </rfmt>
  <rfmt sheetId="1" sqref="A386:G386">
    <dxf>
      <fill>
        <patternFill patternType="none">
          <bgColor auto="1"/>
        </patternFill>
      </fill>
    </dxf>
  </rfmt>
  <rfmt sheetId="1" sqref="A534:G535">
    <dxf>
      <fill>
        <patternFill patternType="none">
          <bgColor auto="1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рпр!$A$7:$G$689</formula>
    <oldFormula>рпр!$C$3:$C$698</oldFormula>
  </rdn>
  <rcv guid="{61C84D61-2D1A-4C38-8F3E-B87673D547A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" sId="1" odxf="1" s="1" dxf="1" numFmtId="4">
    <nc r="F445">
      <v>126788.8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9" sId="1" odxf="1" s="1" dxf="1" numFmtId="4">
    <nc r="G445">
      <v>126788.8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rc rId="60" sId="1" ref="A435:XFD435" action="insertRow">
    <undo index="65535" exp="area" ref3D="1" dr="$A$728:$XFD$730" dn="Z_1CA6CCC9_64EF_4CA9_9C9C_1E572976D134_.wvu.Rows" sId="1"/>
    <undo index="65535" exp="area" ref3D="1" dr="$A$723:$XFD$725" dn="Z_1CA6CCC9_64EF_4CA9_9C9C_1E572976D134_.wvu.Rows" sId="1"/>
    <undo index="65535" exp="area" ref3D="1" dr="$A$702:$XFD$720" dn="Z_1CA6CCC9_64EF_4CA9_9C9C_1E572976D134_.wvu.Rows" sId="1"/>
    <undo index="65535" exp="area" ref3D="1" dr="$A$687:$XFD$700" dn="Z_1CA6CCC9_64EF_4CA9_9C9C_1E572976D134_.wvu.Rows" sId="1"/>
    <undo index="65535" exp="area" ref3D="1" dr="$A$677:$XFD$685" dn="Z_1CA6CCC9_64EF_4CA9_9C9C_1E572976D134_.wvu.Rows" sId="1"/>
    <undo index="65535" exp="area" ref3D="1" dr="$A$645:$XFD$674" dn="Z_1CA6CCC9_64EF_4CA9_9C9C_1E572976D134_.wvu.Rows" sId="1"/>
    <undo index="65535" exp="area" ref3D="1" dr="$A$624:$XFD$643" dn="Z_1CA6CCC9_64EF_4CA9_9C9C_1E572976D134_.wvu.Rows" sId="1"/>
    <undo index="65535" exp="area" ref3D="1" dr="$A$620:$XFD$622" dn="Z_1CA6CCC9_64EF_4CA9_9C9C_1E572976D134_.wvu.Rows" sId="1"/>
    <undo index="65535" exp="area" ref3D="1" dr="$A$596:$XFD$617" dn="Z_1CA6CCC9_64EF_4CA9_9C9C_1E572976D134_.wvu.Rows" sId="1"/>
    <undo index="65535" exp="area" ref3D="1" dr="$A$579:$XFD$594" dn="Z_1CA6CCC9_64EF_4CA9_9C9C_1E572976D134_.wvu.Rows" sId="1"/>
    <undo index="65535" exp="area" ref3D="1" dr="$A$532:$XFD$576" dn="Z_1CA6CCC9_64EF_4CA9_9C9C_1E572976D134_.wvu.Rows" sId="1"/>
    <undo index="65535" exp="area" ref3D="1" dr="$A$514:$XFD$530" dn="Z_1CA6CCC9_64EF_4CA9_9C9C_1E572976D134_.wvu.Rows" sId="1"/>
    <undo index="65535" exp="area" ref3D="1" dr="$A$498:$XFD$512" dn="Z_1CA6CCC9_64EF_4CA9_9C9C_1E572976D134_.wvu.Rows" sId="1"/>
    <undo index="65535" exp="area" ref3D="1" dr="$A$427:$XFD$496" dn="Z_1CA6CCC9_64EF_4CA9_9C9C_1E572976D134_.wvu.Rows" sId="1"/>
  </rrc>
  <rcc rId="61" sId="1">
    <nc r="A435" t="inlineStr">
      <is>
        <t>Муниципальный проект "Все лучшее детям"</t>
      </is>
    </nc>
  </rcc>
  <rcc rId="62" sId="1">
    <nc r="B435" t="inlineStr">
      <is>
        <t>0702</t>
      </is>
    </nc>
  </rcc>
  <rfmt sheetId="1" xfDxf="1" s="1" sqref="C43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cc rId="63" sId="1" xfDxf="1" s="1" dxf="1">
    <nc r="C435" t="inlineStr">
      <is>
        <t>04 1 Ю4 00000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64" sId="1">
    <nc r="E435">
      <f>E436+E439</f>
    </nc>
  </rcc>
  <rcc rId="65" sId="1" odxf="1" s="1" dxf="1">
    <nc r="F435">
      <f>F436+F439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66" sId="1" odxf="1" s="1" dxf="1">
    <nc r="G435">
      <f>G436+G439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" sId="1" numFmtId="4">
    <oc r="G656">
      <v>201</v>
    </oc>
    <nc r="G656">
      <f>201+1004.8</f>
    </nc>
  </rcc>
  <rdn rId="0" localSheetId="1" customView="1" name="Z_1CA6CCC9_64EF_4CA9_9C9C_1E572976D134_.wvu.Rows" hidden="1" oldHidden="1">
    <oldFormula>рпр!$12:$14,рпр!$16:$27,рпр!$29:$45,рпр!$52:$56,рпр!$58:$60,рпр!$62:$66,рпр!$68:$102,рпр!$105:$119,рпр!$122:$126,рпр!$128:$138,рпр!$140:$196,рпр!$198:$218,рпр!$400:$404,рпр!$407:$425,рпр!$427:$497,рпр!$499:$513,рпр!$515:$531,рпр!$533:$577,рпр!$580:$595,рпр!$597:$618,рпр!$621:$623,рпр!$625:$644,рпр!$646:$675,рпр!$678:$686,рпр!$688:$701,рпр!$703:$721,рпр!$724:$726,рпр!$729:$731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рпр!$C$3:$C$740</formula>
    <oldFormula>рпр!$C$3:$C$740</oldFormula>
  </rdn>
  <rcv guid="{1CA6CCC9-64EF-4CA9-9C9C-1E572976D134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 numFmtId="4">
    <oc r="G665">
      <v>169540.7</v>
    </oc>
    <nc r="G665">
      <f>169540.7+11051.9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" sId="1" numFmtId="4">
    <oc r="G669">
      <v>4227.3</v>
    </oc>
    <nc r="G669">
      <f>4227.3+144.4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" sId="1" numFmtId="4">
    <oc r="G672">
      <v>152.19999999999999</v>
    </oc>
    <nc r="G672">
      <f>152.2+92.5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698"/>
  <sheetViews>
    <sheetView tabSelected="1" topLeftCell="A676" zoomScaleNormal="80" zoomScaleSheetLayoutView="74" workbookViewId="0">
      <selection activeCell="D532" sqref="D532"/>
    </sheetView>
  </sheetViews>
  <sheetFormatPr defaultRowHeight="15.75" outlineLevelRow="2" x14ac:dyDescent="0.25"/>
  <cols>
    <col min="1" max="1" width="49.42578125" style="2" customWidth="1"/>
    <col min="2" max="2" width="8.7109375" style="3" customWidth="1"/>
    <col min="3" max="3" width="14.85546875" style="3" customWidth="1"/>
    <col min="4" max="4" width="7.140625" style="1" customWidth="1"/>
    <col min="5" max="5" width="14.42578125" style="1" customWidth="1"/>
    <col min="6" max="6" width="13.85546875" style="1" customWidth="1"/>
    <col min="7" max="7" width="15.85546875" style="3" customWidth="1"/>
    <col min="8" max="16384" width="9.140625" style="4"/>
  </cols>
  <sheetData>
    <row r="1" spans="1:7" ht="55.5" customHeight="1" x14ac:dyDescent="0.25">
      <c r="F1" s="82" t="s">
        <v>512</v>
      </c>
      <c r="G1" s="82"/>
    </row>
    <row r="2" spans="1:7" ht="22.5" customHeight="1" x14ac:dyDescent="0.25">
      <c r="F2" s="5"/>
    </row>
    <row r="3" spans="1:7" ht="51.75" customHeight="1" x14ac:dyDescent="0.25">
      <c r="F3" s="82" t="s">
        <v>519</v>
      </c>
      <c r="G3" s="82"/>
    </row>
    <row r="4" spans="1:7" ht="27" customHeight="1" x14ac:dyDescent="0.25">
      <c r="E4" s="5"/>
      <c r="F4" s="5" t="s">
        <v>518</v>
      </c>
    </row>
    <row r="5" spans="1:7" ht="48.75" customHeight="1" x14ac:dyDescent="0.25">
      <c r="A5" s="89" t="s">
        <v>290</v>
      </c>
      <c r="B5" s="89"/>
      <c r="C5" s="89"/>
      <c r="D5" s="89"/>
      <c r="E5" s="89"/>
      <c r="F5" s="89"/>
      <c r="G5" s="89"/>
    </row>
    <row r="6" spans="1:7" x14ac:dyDescent="0.25">
      <c r="A6" s="6"/>
      <c r="B6" s="7"/>
      <c r="C6" s="7"/>
      <c r="D6" s="7"/>
      <c r="E6" s="7"/>
      <c r="F6" s="7"/>
    </row>
    <row r="7" spans="1:7" x14ac:dyDescent="0.25">
      <c r="A7" s="8"/>
      <c r="B7" s="9"/>
      <c r="C7" s="9"/>
      <c r="G7" s="1" t="s">
        <v>0</v>
      </c>
    </row>
    <row r="8" spans="1:7" ht="16.5" customHeight="1" x14ac:dyDescent="0.25">
      <c r="A8" s="83" t="s">
        <v>1</v>
      </c>
      <c r="B8" s="84" t="s">
        <v>2</v>
      </c>
      <c r="C8" s="87" t="s">
        <v>3</v>
      </c>
      <c r="D8" s="87" t="s">
        <v>4</v>
      </c>
      <c r="E8" s="10" t="s">
        <v>139</v>
      </c>
      <c r="F8" s="85" t="s">
        <v>77</v>
      </c>
      <c r="G8" s="86"/>
    </row>
    <row r="9" spans="1:7" x14ac:dyDescent="0.25">
      <c r="A9" s="83"/>
      <c r="B9" s="84"/>
      <c r="C9" s="88"/>
      <c r="D9" s="88"/>
      <c r="E9" s="11" t="s">
        <v>650</v>
      </c>
      <c r="F9" s="12" t="s">
        <v>86</v>
      </c>
      <c r="G9" s="12" t="s">
        <v>142</v>
      </c>
    </row>
    <row r="10" spans="1:7" x14ac:dyDescent="0.25">
      <c r="A10" s="13" t="s">
        <v>5</v>
      </c>
      <c r="B10" s="14" t="s">
        <v>6</v>
      </c>
      <c r="C10" s="14"/>
      <c r="D10" s="15"/>
      <c r="E10" s="16">
        <f>E11+E15+E28+E46+E51+E57+E67+E61</f>
        <v>1107855.7</v>
      </c>
      <c r="F10" s="16">
        <f t="shared" ref="F10:G10" si="0">F11+F15+F28+F46+F51+F57+F67+F61</f>
        <v>974045.2</v>
      </c>
      <c r="G10" s="16">
        <f t="shared" si="0"/>
        <v>983432.8</v>
      </c>
    </row>
    <row r="11" spans="1:7" ht="47.25" outlineLevel="1" x14ac:dyDescent="0.25">
      <c r="A11" s="17" t="s">
        <v>27</v>
      </c>
      <c r="B11" s="18" t="s">
        <v>28</v>
      </c>
      <c r="C11" s="18"/>
      <c r="D11" s="9"/>
      <c r="E11" s="19">
        <f>E12</f>
        <v>4059</v>
      </c>
      <c r="F11" s="19">
        <f t="shared" ref="F11:G13" si="1">F12</f>
        <v>4001.6</v>
      </c>
      <c r="G11" s="19">
        <f t="shared" si="1"/>
        <v>4001.6</v>
      </c>
    </row>
    <row r="12" spans="1:7" outlineLevel="2" x14ac:dyDescent="0.25">
      <c r="A12" s="17" t="s">
        <v>9</v>
      </c>
      <c r="B12" s="18" t="s">
        <v>28</v>
      </c>
      <c r="C12" s="18" t="s">
        <v>10</v>
      </c>
      <c r="D12" s="9"/>
      <c r="E12" s="19">
        <f>E13</f>
        <v>4059</v>
      </c>
      <c r="F12" s="19">
        <f t="shared" si="1"/>
        <v>4001.6</v>
      </c>
      <c r="G12" s="19">
        <f t="shared" si="1"/>
        <v>4001.6</v>
      </c>
    </row>
    <row r="13" spans="1:7" outlineLevel="2" x14ac:dyDescent="0.25">
      <c r="A13" s="17" t="s">
        <v>29</v>
      </c>
      <c r="B13" s="18" t="s">
        <v>28</v>
      </c>
      <c r="C13" s="18" t="s">
        <v>30</v>
      </c>
      <c r="D13" s="9"/>
      <c r="E13" s="19">
        <f>E14</f>
        <v>4059</v>
      </c>
      <c r="F13" s="19">
        <f t="shared" si="1"/>
        <v>4001.6</v>
      </c>
      <c r="G13" s="19">
        <f t="shared" si="1"/>
        <v>4001.6</v>
      </c>
    </row>
    <row r="14" spans="1:7" ht="94.5" outlineLevel="2" x14ac:dyDescent="0.25">
      <c r="A14" s="17" t="s">
        <v>13</v>
      </c>
      <c r="B14" s="18" t="s">
        <v>28</v>
      </c>
      <c r="C14" s="18" t="s">
        <v>30</v>
      </c>
      <c r="D14" s="9">
        <v>100</v>
      </c>
      <c r="E14" s="19">
        <f>3872.4+186.6</f>
        <v>4059</v>
      </c>
      <c r="F14" s="19">
        <v>4001.6</v>
      </c>
      <c r="G14" s="19">
        <v>4001.6</v>
      </c>
    </row>
    <row r="15" spans="1:7" ht="63" outlineLevel="1" x14ac:dyDescent="0.25">
      <c r="A15" s="20" t="s">
        <v>7</v>
      </c>
      <c r="B15" s="18" t="s">
        <v>8</v>
      </c>
      <c r="C15" s="18"/>
      <c r="D15" s="9"/>
      <c r="E15" s="1">
        <f>E16</f>
        <v>51205</v>
      </c>
      <c r="F15" s="1">
        <f>F16</f>
        <v>53167.399999999994</v>
      </c>
      <c r="G15" s="21">
        <f>G16</f>
        <v>53167.399999999994</v>
      </c>
    </row>
    <row r="16" spans="1:7" outlineLevel="2" x14ac:dyDescent="0.25">
      <c r="A16" s="20" t="s">
        <v>9</v>
      </c>
      <c r="B16" s="18" t="s">
        <v>8</v>
      </c>
      <c r="C16" s="18" t="s">
        <v>10</v>
      </c>
      <c r="D16" s="9"/>
      <c r="E16" s="1">
        <f>E17+E19+E21+E23+E26</f>
        <v>51205</v>
      </c>
      <c r="F16" s="1">
        <f>F17+F19+F21+F23+F26</f>
        <v>53167.399999999994</v>
      </c>
      <c r="G16" s="21">
        <f>G17+G19+G21+G23+G26</f>
        <v>53167.399999999994</v>
      </c>
    </row>
    <row r="17" spans="1:7" ht="31.5" outlineLevel="2" x14ac:dyDescent="0.25">
      <c r="A17" s="20" t="s">
        <v>11</v>
      </c>
      <c r="B17" s="18" t="s">
        <v>8</v>
      </c>
      <c r="C17" s="18" t="s">
        <v>12</v>
      </c>
      <c r="D17" s="9"/>
      <c r="E17" s="1">
        <f>E18</f>
        <v>4059.1</v>
      </c>
      <c r="F17" s="1">
        <f>F18</f>
        <v>4001.6</v>
      </c>
      <c r="G17" s="21">
        <f>G18</f>
        <v>4001.6</v>
      </c>
    </row>
    <row r="18" spans="1:7" ht="94.5" outlineLevel="2" x14ac:dyDescent="0.25">
      <c r="A18" s="20" t="s">
        <v>13</v>
      </c>
      <c r="B18" s="18" t="s">
        <v>8</v>
      </c>
      <c r="C18" s="18" t="s">
        <v>12</v>
      </c>
      <c r="D18" s="9">
        <v>100</v>
      </c>
      <c r="E18" s="1">
        <f>3872.4+186.7</f>
        <v>4059.1</v>
      </c>
      <c r="F18" s="1">
        <v>4001.6</v>
      </c>
      <c r="G18" s="21">
        <v>4001.6</v>
      </c>
    </row>
    <row r="19" spans="1:7" ht="31.5" outlineLevel="2" x14ac:dyDescent="0.25">
      <c r="A19" s="20" t="s">
        <v>14</v>
      </c>
      <c r="B19" s="18" t="s">
        <v>8</v>
      </c>
      <c r="C19" s="18" t="s">
        <v>15</v>
      </c>
      <c r="D19" s="9"/>
      <c r="E19" s="1">
        <f>E20</f>
        <v>2635.2000000000003</v>
      </c>
      <c r="F19" s="1">
        <f>F20</f>
        <v>3265.3</v>
      </c>
      <c r="G19" s="21">
        <f>G20</f>
        <v>3265.3</v>
      </c>
    </row>
    <row r="20" spans="1:7" ht="94.5" outlineLevel="2" x14ac:dyDescent="0.25">
      <c r="A20" s="20" t="s">
        <v>13</v>
      </c>
      <c r="B20" s="18" t="s">
        <v>8</v>
      </c>
      <c r="C20" s="18" t="s">
        <v>15</v>
      </c>
      <c r="D20" s="9">
        <v>100</v>
      </c>
      <c r="E20" s="1">
        <f>3159.8-524.6</f>
        <v>2635.2000000000003</v>
      </c>
      <c r="F20" s="1">
        <v>3265.3</v>
      </c>
      <c r="G20" s="21">
        <v>3265.3</v>
      </c>
    </row>
    <row r="21" spans="1:7" ht="31.5" outlineLevel="2" x14ac:dyDescent="0.25">
      <c r="A21" s="20" t="s">
        <v>16</v>
      </c>
      <c r="B21" s="18" t="s">
        <v>8</v>
      </c>
      <c r="C21" s="18" t="s">
        <v>17</v>
      </c>
      <c r="D21" s="9"/>
      <c r="E21" s="1">
        <f>E22</f>
        <v>2863.2999999999997</v>
      </c>
      <c r="F21" s="1">
        <f>F22</f>
        <v>3035.7</v>
      </c>
      <c r="G21" s="21">
        <f>G22</f>
        <v>3035.7</v>
      </c>
    </row>
    <row r="22" spans="1:7" ht="94.5" outlineLevel="2" x14ac:dyDescent="0.25">
      <c r="A22" s="20" t="s">
        <v>13</v>
      </c>
      <c r="B22" s="18" t="s">
        <v>8</v>
      </c>
      <c r="C22" s="18" t="s">
        <v>17</v>
      </c>
      <c r="D22" s="9">
        <v>100</v>
      </c>
      <c r="E22" s="1">
        <f>2937.7-74.4</f>
        <v>2863.2999999999997</v>
      </c>
      <c r="F22" s="1">
        <v>3035.7</v>
      </c>
      <c r="G22" s="21">
        <v>3035.7</v>
      </c>
    </row>
    <row r="23" spans="1:7" ht="31.5" outlineLevel="2" x14ac:dyDescent="0.25">
      <c r="A23" s="8" t="s">
        <v>18</v>
      </c>
      <c r="B23" s="18" t="s">
        <v>8</v>
      </c>
      <c r="C23" s="18" t="s">
        <v>19</v>
      </c>
      <c r="D23" s="9"/>
      <c r="E23" s="1">
        <f>E24+E25</f>
        <v>28795.100000000002</v>
      </c>
      <c r="F23" s="1">
        <f>F24+F25</f>
        <v>28186</v>
      </c>
      <c r="G23" s="21">
        <f>G24+G25</f>
        <v>28186</v>
      </c>
    </row>
    <row r="24" spans="1:7" ht="94.5" outlineLevel="2" x14ac:dyDescent="0.25">
      <c r="A24" s="20" t="s">
        <v>13</v>
      </c>
      <c r="B24" s="18" t="s">
        <v>8</v>
      </c>
      <c r="C24" s="18" t="s">
        <v>19</v>
      </c>
      <c r="D24" s="9">
        <v>100</v>
      </c>
      <c r="E24" s="1">
        <f>25723.4+1238.8</f>
        <v>26962.2</v>
      </c>
      <c r="F24" s="1">
        <v>26580.2</v>
      </c>
      <c r="G24" s="21">
        <v>26580.2</v>
      </c>
    </row>
    <row r="25" spans="1:7" ht="31.5" outlineLevel="2" x14ac:dyDescent="0.25">
      <c r="A25" s="20" t="s">
        <v>76</v>
      </c>
      <c r="B25" s="18" t="s">
        <v>8</v>
      </c>
      <c r="C25" s="18" t="s">
        <v>19</v>
      </c>
      <c r="D25" s="9">
        <v>200</v>
      </c>
      <c r="E25" s="1">
        <v>1832.9</v>
      </c>
      <c r="F25" s="1">
        <v>1605.8</v>
      </c>
      <c r="G25" s="21">
        <v>1605.8</v>
      </c>
    </row>
    <row r="26" spans="1:7" ht="31.5" outlineLevel="2" x14ac:dyDescent="0.25">
      <c r="A26" s="20" t="s">
        <v>21</v>
      </c>
      <c r="B26" s="18" t="s">
        <v>8</v>
      </c>
      <c r="C26" s="18" t="s">
        <v>22</v>
      </c>
      <c r="D26" s="9"/>
      <c r="E26" s="1">
        <f>E27</f>
        <v>12852.3</v>
      </c>
      <c r="F26" s="1">
        <f>F27</f>
        <v>14678.8</v>
      </c>
      <c r="G26" s="21">
        <f>G27</f>
        <v>14678.8</v>
      </c>
    </row>
    <row r="27" spans="1:7" ht="94.5" outlineLevel="2" x14ac:dyDescent="0.25">
      <c r="A27" s="20" t="s">
        <v>13</v>
      </c>
      <c r="B27" s="18" t="s">
        <v>8</v>
      </c>
      <c r="C27" s="18" t="s">
        <v>22</v>
      </c>
      <c r="D27" s="9">
        <v>100</v>
      </c>
      <c r="E27" s="1">
        <f>14678.8-1826.5</f>
        <v>12852.3</v>
      </c>
      <c r="F27" s="1">
        <v>14678.8</v>
      </c>
      <c r="G27" s="21">
        <v>14678.8</v>
      </c>
    </row>
    <row r="28" spans="1:7" ht="63" outlineLevel="1" x14ac:dyDescent="0.25">
      <c r="A28" s="17" t="s">
        <v>645</v>
      </c>
      <c r="B28" s="18" t="s">
        <v>31</v>
      </c>
      <c r="C28" s="18"/>
      <c r="D28" s="9"/>
      <c r="E28" s="19">
        <f>E29</f>
        <v>421486</v>
      </c>
      <c r="F28" s="19">
        <f t="shared" ref="F28:G28" si="2">F29</f>
        <v>395227.2</v>
      </c>
      <c r="G28" s="19">
        <f t="shared" si="2"/>
        <v>394909.4</v>
      </c>
    </row>
    <row r="29" spans="1:7" outlineLevel="2" x14ac:dyDescent="0.25">
      <c r="A29" s="17" t="s">
        <v>9</v>
      </c>
      <c r="B29" s="18" t="s">
        <v>31</v>
      </c>
      <c r="C29" s="18" t="s">
        <v>10</v>
      </c>
      <c r="D29" s="9"/>
      <c r="E29" s="19">
        <f>E30+E35</f>
        <v>421486</v>
      </c>
      <c r="F29" s="19">
        <f t="shared" ref="F29:G29" si="3">F30+F35</f>
        <v>395227.2</v>
      </c>
      <c r="G29" s="19">
        <f t="shared" si="3"/>
        <v>394909.4</v>
      </c>
    </row>
    <row r="30" spans="1:7" ht="53.25" customHeight="1" outlineLevel="2" x14ac:dyDescent="0.25">
      <c r="A30" s="22" t="s">
        <v>160</v>
      </c>
      <c r="B30" s="18" t="s">
        <v>31</v>
      </c>
      <c r="C30" s="18" t="s">
        <v>32</v>
      </c>
      <c r="D30" s="9"/>
      <c r="E30" s="19">
        <f>E31+E32+E33+E34</f>
        <v>405327</v>
      </c>
      <c r="F30" s="19">
        <f t="shared" ref="F30:G30" si="4">F31+F32+F33+F34</f>
        <v>377709.7</v>
      </c>
      <c r="G30" s="19">
        <f t="shared" si="4"/>
        <v>377467.80000000005</v>
      </c>
    </row>
    <row r="31" spans="1:7" ht="94.5" outlineLevel="2" x14ac:dyDescent="0.25">
      <c r="A31" s="17" t="s">
        <v>13</v>
      </c>
      <c r="B31" s="18" t="s">
        <v>31</v>
      </c>
      <c r="C31" s="18" t="s">
        <v>32</v>
      </c>
      <c r="D31" s="9">
        <v>100</v>
      </c>
      <c r="E31" s="19">
        <f>342930+32926.3</f>
        <v>375856.3</v>
      </c>
      <c r="F31" s="19">
        <v>354667</v>
      </c>
      <c r="G31" s="19">
        <v>354667.9</v>
      </c>
    </row>
    <row r="32" spans="1:7" ht="31.5" outlineLevel="2" x14ac:dyDescent="0.25">
      <c r="A32" s="17" t="s">
        <v>76</v>
      </c>
      <c r="B32" s="18" t="s">
        <v>31</v>
      </c>
      <c r="C32" s="18" t="s">
        <v>32</v>
      </c>
      <c r="D32" s="9">
        <v>200</v>
      </c>
      <c r="E32" s="19">
        <v>25797.3</v>
      </c>
      <c r="F32" s="19">
        <v>19369.3</v>
      </c>
      <c r="G32" s="19">
        <v>19126.5</v>
      </c>
    </row>
    <row r="33" spans="1:7" ht="31.5" outlineLevel="2" x14ac:dyDescent="0.25">
      <c r="A33" s="17" t="s">
        <v>20</v>
      </c>
      <c r="B33" s="18" t="s">
        <v>31</v>
      </c>
      <c r="C33" s="18" t="s">
        <v>32</v>
      </c>
      <c r="D33" s="9">
        <v>300</v>
      </c>
      <c r="E33" s="19">
        <v>1000</v>
      </c>
      <c r="F33" s="19">
        <v>1000</v>
      </c>
      <c r="G33" s="19">
        <v>1000</v>
      </c>
    </row>
    <row r="34" spans="1:7" outlineLevel="2" x14ac:dyDescent="0.25">
      <c r="A34" s="22" t="s">
        <v>33</v>
      </c>
      <c r="B34" s="18" t="s">
        <v>31</v>
      </c>
      <c r="C34" s="18" t="s">
        <v>32</v>
      </c>
      <c r="D34" s="9">
        <v>800</v>
      </c>
      <c r="E34" s="19">
        <v>2673.4</v>
      </c>
      <c r="F34" s="19">
        <v>2673.4</v>
      </c>
      <c r="G34" s="19">
        <v>2673.4</v>
      </c>
    </row>
    <row r="35" spans="1:7" ht="31.5" outlineLevel="2" x14ac:dyDescent="0.25">
      <c r="A35" s="22" t="s">
        <v>34</v>
      </c>
      <c r="B35" s="23" t="s">
        <v>31</v>
      </c>
      <c r="C35" s="23" t="s">
        <v>35</v>
      </c>
      <c r="D35" s="18"/>
      <c r="E35" s="19">
        <f>E36+E38+E40+E43</f>
        <v>16159</v>
      </c>
      <c r="F35" s="19">
        <f t="shared" ref="F35:G35" si="5">F36+F38+F40+F43</f>
        <v>17517.5</v>
      </c>
      <c r="G35" s="19">
        <f t="shared" si="5"/>
        <v>17441.599999999999</v>
      </c>
    </row>
    <row r="36" spans="1:7" ht="94.5" outlineLevel="2" x14ac:dyDescent="0.25">
      <c r="A36" s="17" t="s">
        <v>79</v>
      </c>
      <c r="B36" s="18" t="s">
        <v>31</v>
      </c>
      <c r="C36" s="24" t="s">
        <v>36</v>
      </c>
      <c r="D36" s="9"/>
      <c r="E36" s="19">
        <f>E37</f>
        <v>6869.7</v>
      </c>
      <c r="F36" s="19">
        <f t="shared" ref="F36:G36" si="6">F37</f>
        <v>6869.7</v>
      </c>
      <c r="G36" s="19">
        <f t="shared" si="6"/>
        <v>6869.7</v>
      </c>
    </row>
    <row r="37" spans="1:7" ht="94.5" outlineLevel="2" x14ac:dyDescent="0.25">
      <c r="A37" s="17" t="s">
        <v>13</v>
      </c>
      <c r="B37" s="18" t="s">
        <v>31</v>
      </c>
      <c r="C37" s="24" t="s">
        <v>36</v>
      </c>
      <c r="D37" s="9">
        <v>100</v>
      </c>
      <c r="E37" s="19">
        <v>6869.7</v>
      </c>
      <c r="F37" s="19">
        <v>6869.7</v>
      </c>
      <c r="G37" s="19">
        <v>6869.7</v>
      </c>
    </row>
    <row r="38" spans="1:7" ht="126" outlineLevel="2" x14ac:dyDescent="0.25">
      <c r="A38" s="17" t="s">
        <v>87</v>
      </c>
      <c r="B38" s="18" t="s">
        <v>31</v>
      </c>
      <c r="C38" s="18" t="s">
        <v>37</v>
      </c>
      <c r="D38" s="18"/>
      <c r="E38" s="19">
        <f>E39</f>
        <v>3813.2</v>
      </c>
      <c r="F38" s="19">
        <f t="shared" ref="F38:G38" si="7">F39</f>
        <v>3813.2</v>
      </c>
      <c r="G38" s="19">
        <f t="shared" si="7"/>
        <v>3813.2</v>
      </c>
    </row>
    <row r="39" spans="1:7" ht="94.5" outlineLevel="2" x14ac:dyDescent="0.25">
      <c r="A39" s="17" t="s">
        <v>13</v>
      </c>
      <c r="B39" s="18" t="s">
        <v>31</v>
      </c>
      <c r="C39" s="18" t="s">
        <v>37</v>
      </c>
      <c r="D39" s="18" t="s">
        <v>38</v>
      </c>
      <c r="E39" s="19">
        <f>3799.1+14.1</f>
        <v>3813.2</v>
      </c>
      <c r="F39" s="19">
        <f>3799.1+14.1</f>
        <v>3813.2</v>
      </c>
      <c r="G39" s="19">
        <f>3799.1+14.1</f>
        <v>3813.2</v>
      </c>
    </row>
    <row r="40" spans="1:7" ht="94.5" outlineLevel="2" x14ac:dyDescent="0.25">
      <c r="A40" s="17" t="s">
        <v>82</v>
      </c>
      <c r="B40" s="18" t="s">
        <v>31</v>
      </c>
      <c r="C40" s="18" t="s">
        <v>78</v>
      </c>
      <c r="D40" s="18"/>
      <c r="E40" s="19">
        <f>E41+E42</f>
        <v>0</v>
      </c>
      <c r="F40" s="19">
        <f t="shared" ref="F40:G40" si="8">F41+F42</f>
        <v>1358.5</v>
      </c>
      <c r="G40" s="19">
        <f t="shared" si="8"/>
        <v>1282.5999999999999</v>
      </c>
    </row>
    <row r="41" spans="1:7" ht="94.5" outlineLevel="2" x14ac:dyDescent="0.25">
      <c r="A41" s="17" t="s">
        <v>13</v>
      </c>
      <c r="B41" s="18" t="s">
        <v>31</v>
      </c>
      <c r="C41" s="18" t="s">
        <v>78</v>
      </c>
      <c r="D41" s="18" t="s">
        <v>38</v>
      </c>
      <c r="E41" s="19">
        <v>0</v>
      </c>
      <c r="F41" s="19">
        <v>1282.5999999999999</v>
      </c>
      <c r="G41" s="19">
        <v>1282.5999999999999</v>
      </c>
    </row>
    <row r="42" spans="1:7" ht="31.5" outlineLevel="2" x14ac:dyDescent="0.25">
      <c r="A42" s="17" t="s">
        <v>76</v>
      </c>
      <c r="B42" s="18" t="s">
        <v>31</v>
      </c>
      <c r="C42" s="18" t="s">
        <v>78</v>
      </c>
      <c r="D42" s="18" t="s">
        <v>39</v>
      </c>
      <c r="E42" s="19"/>
      <c r="F42" s="19">
        <v>75.900000000000006</v>
      </c>
      <c r="G42" s="19">
        <f>75.9-75.9</f>
        <v>0</v>
      </c>
    </row>
    <row r="43" spans="1:7" ht="63" outlineLevel="2" x14ac:dyDescent="0.25">
      <c r="A43" s="17" t="s">
        <v>80</v>
      </c>
      <c r="B43" s="18" t="s">
        <v>31</v>
      </c>
      <c r="C43" s="24" t="s">
        <v>40</v>
      </c>
      <c r="D43" s="9"/>
      <c r="E43" s="19">
        <f>E44+E45</f>
        <v>5476.1</v>
      </c>
      <c r="F43" s="19">
        <f t="shared" ref="F43" si="9">F44+F45</f>
        <v>5476.1</v>
      </c>
      <c r="G43" s="19">
        <f>G44+G45</f>
        <v>5476.1</v>
      </c>
    </row>
    <row r="44" spans="1:7" ht="94.5" outlineLevel="2" x14ac:dyDescent="0.25">
      <c r="A44" s="17" t="s">
        <v>13</v>
      </c>
      <c r="B44" s="18" t="s">
        <v>31</v>
      </c>
      <c r="C44" s="24" t="s">
        <v>40</v>
      </c>
      <c r="D44" s="9">
        <v>100</v>
      </c>
      <c r="E44" s="19">
        <f>5192.8+250.5</f>
        <v>5443.3</v>
      </c>
      <c r="F44" s="19">
        <f>5192.8+250.5</f>
        <v>5443.3</v>
      </c>
      <c r="G44" s="19">
        <f>5192.8+250.5</f>
        <v>5443.3</v>
      </c>
    </row>
    <row r="45" spans="1:7" ht="31.5" outlineLevel="2" x14ac:dyDescent="0.25">
      <c r="A45" s="17" t="s">
        <v>76</v>
      </c>
      <c r="B45" s="18" t="s">
        <v>31</v>
      </c>
      <c r="C45" s="24" t="s">
        <v>40</v>
      </c>
      <c r="D45" s="9">
        <v>200</v>
      </c>
      <c r="E45" s="19">
        <f>209-176.2</f>
        <v>32.800000000000011</v>
      </c>
      <c r="F45" s="19">
        <f>209-176.2</f>
        <v>32.800000000000011</v>
      </c>
      <c r="G45" s="19">
        <f>209-176.2</f>
        <v>32.800000000000011</v>
      </c>
    </row>
    <row r="46" spans="1:7" outlineLevel="1" x14ac:dyDescent="0.25">
      <c r="A46" s="25" t="s">
        <v>41</v>
      </c>
      <c r="B46" s="26" t="s">
        <v>42</v>
      </c>
      <c r="C46" s="27"/>
      <c r="D46" s="9"/>
      <c r="E46" s="19">
        <f>E47</f>
        <v>17.7</v>
      </c>
      <c r="F46" s="19">
        <f t="shared" ref="F46:G48" si="10">F47</f>
        <v>372.9</v>
      </c>
      <c r="G46" s="19">
        <f t="shared" si="10"/>
        <v>17.399999999999977</v>
      </c>
    </row>
    <row r="47" spans="1:7" outlineLevel="2" x14ac:dyDescent="0.25">
      <c r="A47" s="17" t="s">
        <v>9</v>
      </c>
      <c r="B47" s="26" t="s">
        <v>42</v>
      </c>
      <c r="C47" s="18" t="s">
        <v>10</v>
      </c>
      <c r="D47" s="9"/>
      <c r="E47" s="19">
        <f>E48</f>
        <v>17.7</v>
      </c>
      <c r="F47" s="19">
        <f t="shared" si="10"/>
        <v>372.9</v>
      </c>
      <c r="G47" s="19">
        <f t="shared" si="10"/>
        <v>17.399999999999977</v>
      </c>
    </row>
    <row r="48" spans="1:7" ht="31.5" outlineLevel="2" x14ac:dyDescent="0.25">
      <c r="A48" s="28" t="s">
        <v>34</v>
      </c>
      <c r="B48" s="26" t="s">
        <v>42</v>
      </c>
      <c r="C48" s="26" t="s">
        <v>35</v>
      </c>
      <c r="D48" s="9"/>
      <c r="E48" s="19">
        <f>E49</f>
        <v>17.7</v>
      </c>
      <c r="F48" s="19">
        <f t="shared" si="10"/>
        <v>372.9</v>
      </c>
      <c r="G48" s="19">
        <f t="shared" si="10"/>
        <v>17.399999999999977</v>
      </c>
    </row>
    <row r="49" spans="1:7" ht="63" outlineLevel="2" x14ac:dyDescent="0.25">
      <c r="A49" s="22" t="s">
        <v>81</v>
      </c>
      <c r="B49" s="26" t="s">
        <v>42</v>
      </c>
      <c r="C49" s="27" t="s">
        <v>43</v>
      </c>
      <c r="D49" s="9"/>
      <c r="E49" s="19">
        <f>E50</f>
        <v>17.7</v>
      </c>
      <c r="F49" s="19">
        <f>F50</f>
        <v>372.9</v>
      </c>
      <c r="G49" s="19">
        <f>G50</f>
        <v>17.399999999999977</v>
      </c>
    </row>
    <row r="50" spans="1:7" ht="39" customHeight="1" outlineLevel="2" x14ac:dyDescent="0.25">
      <c r="A50" s="22" t="s">
        <v>44</v>
      </c>
      <c r="B50" s="26" t="s">
        <v>42</v>
      </c>
      <c r="C50" s="27" t="s">
        <v>43</v>
      </c>
      <c r="D50" s="9">
        <v>600</v>
      </c>
      <c r="E50" s="19">
        <f>30.2-12.5</f>
        <v>17.7</v>
      </c>
      <c r="F50" s="19">
        <f>610-237.1</f>
        <v>372.9</v>
      </c>
      <c r="G50" s="19">
        <f>610-592.6</f>
        <v>17.399999999999977</v>
      </c>
    </row>
    <row r="51" spans="1:7" ht="47.25" outlineLevel="1" x14ac:dyDescent="0.25">
      <c r="A51" s="20" t="s">
        <v>61</v>
      </c>
      <c r="B51" s="18" t="s">
        <v>62</v>
      </c>
      <c r="C51" s="18"/>
      <c r="D51" s="9"/>
      <c r="E51" s="19">
        <f t="shared" ref="E51:G52" si="11">E52</f>
        <v>98981.3</v>
      </c>
      <c r="F51" s="19">
        <f t="shared" si="11"/>
        <v>94834</v>
      </c>
      <c r="G51" s="19">
        <f t="shared" si="11"/>
        <v>95202.3</v>
      </c>
    </row>
    <row r="52" spans="1:7" outlineLevel="2" x14ac:dyDescent="0.25">
      <c r="A52" s="20" t="s">
        <v>9</v>
      </c>
      <c r="B52" s="18" t="s">
        <v>62</v>
      </c>
      <c r="C52" s="18" t="s">
        <v>10</v>
      </c>
      <c r="D52" s="9"/>
      <c r="E52" s="19">
        <f t="shared" si="11"/>
        <v>98981.3</v>
      </c>
      <c r="F52" s="19">
        <f t="shared" si="11"/>
        <v>94834</v>
      </c>
      <c r="G52" s="19">
        <f t="shared" si="11"/>
        <v>95202.3</v>
      </c>
    </row>
    <row r="53" spans="1:7" ht="47.25" outlineLevel="2" x14ac:dyDescent="0.25">
      <c r="A53" s="22" t="s">
        <v>160</v>
      </c>
      <c r="B53" s="18" t="s">
        <v>62</v>
      </c>
      <c r="C53" s="18" t="s">
        <v>32</v>
      </c>
      <c r="D53" s="9"/>
      <c r="E53" s="19">
        <f>E54+E55+E56</f>
        <v>98981.3</v>
      </c>
      <c r="F53" s="19">
        <f>F54+F55+F56</f>
        <v>94834</v>
      </c>
      <c r="G53" s="19">
        <f>G54+G55+G56</f>
        <v>95202.3</v>
      </c>
    </row>
    <row r="54" spans="1:7" ht="94.5" outlineLevel="2" x14ac:dyDescent="0.25">
      <c r="A54" s="20" t="s">
        <v>13</v>
      </c>
      <c r="B54" s="18" t="s">
        <v>62</v>
      </c>
      <c r="C54" s="18" t="s">
        <v>32</v>
      </c>
      <c r="D54" s="9">
        <v>100</v>
      </c>
      <c r="E54" s="19">
        <f>57187.8+28914+5781.7+1375.3+21.7</f>
        <v>93280.5</v>
      </c>
      <c r="F54" s="19">
        <f>59096.4+29865.9</f>
        <v>88962.3</v>
      </c>
      <c r="G54" s="19">
        <f>59096.4+29865.9</f>
        <v>88962.3</v>
      </c>
    </row>
    <row r="55" spans="1:7" ht="31.5" outlineLevel="2" x14ac:dyDescent="0.25">
      <c r="A55" s="20" t="s">
        <v>76</v>
      </c>
      <c r="B55" s="18" t="s">
        <v>62</v>
      </c>
      <c r="C55" s="18" t="s">
        <v>32</v>
      </c>
      <c r="D55" s="9">
        <v>200</v>
      </c>
      <c r="E55" s="19">
        <f>3615.8+2.4+2000+0.1-21.7</f>
        <v>5596.6000000000013</v>
      </c>
      <c r="F55" s="19">
        <f>3767.5+2000</f>
        <v>5767.5</v>
      </c>
      <c r="G55" s="19">
        <f>4135.8+2000</f>
        <v>6135.8</v>
      </c>
    </row>
    <row r="56" spans="1:7" outlineLevel="2" x14ac:dyDescent="0.25">
      <c r="A56" s="8" t="s">
        <v>33</v>
      </c>
      <c r="B56" s="18" t="s">
        <v>62</v>
      </c>
      <c r="C56" s="18" t="s">
        <v>32</v>
      </c>
      <c r="D56" s="9">
        <v>800</v>
      </c>
      <c r="E56" s="19">
        <f>50.2+54</f>
        <v>104.2</v>
      </c>
      <c r="F56" s="19">
        <f t="shared" ref="F56:G56" si="12">50.2+54</f>
        <v>104.2</v>
      </c>
      <c r="G56" s="19">
        <f t="shared" si="12"/>
        <v>104.2</v>
      </c>
    </row>
    <row r="57" spans="1:7" outlineLevel="1" x14ac:dyDescent="0.25">
      <c r="A57" s="20" t="s">
        <v>63</v>
      </c>
      <c r="B57" s="18" t="s">
        <v>64</v>
      </c>
      <c r="C57" s="18"/>
      <c r="D57" s="9"/>
      <c r="E57" s="19">
        <f>E58</f>
        <v>157008.69999999998</v>
      </c>
      <c r="F57" s="19">
        <f t="shared" ref="F57:G59" si="13">F58</f>
        <v>82102.2</v>
      </c>
      <c r="G57" s="19">
        <f t="shared" si="13"/>
        <v>82102.2</v>
      </c>
    </row>
    <row r="58" spans="1:7" outlineLevel="2" x14ac:dyDescent="0.25">
      <c r="A58" s="20" t="s">
        <v>9</v>
      </c>
      <c r="B58" s="18" t="s">
        <v>64</v>
      </c>
      <c r="C58" s="18" t="s">
        <v>10</v>
      </c>
      <c r="D58" s="9"/>
      <c r="E58" s="19">
        <f>E59</f>
        <v>157008.69999999998</v>
      </c>
      <c r="F58" s="19">
        <f t="shared" si="13"/>
        <v>82102.2</v>
      </c>
      <c r="G58" s="19">
        <f t="shared" si="13"/>
        <v>82102.2</v>
      </c>
    </row>
    <row r="59" spans="1:7" ht="31.5" outlineLevel="2" x14ac:dyDescent="0.25">
      <c r="A59" s="20" t="s">
        <v>65</v>
      </c>
      <c r="B59" s="18" t="s">
        <v>64</v>
      </c>
      <c r="C59" s="18" t="s">
        <v>66</v>
      </c>
      <c r="D59" s="9"/>
      <c r="E59" s="19">
        <f>E60</f>
        <v>157008.69999999998</v>
      </c>
      <c r="F59" s="19">
        <f t="shared" si="13"/>
        <v>82102.2</v>
      </c>
      <c r="G59" s="19">
        <f t="shared" si="13"/>
        <v>82102.2</v>
      </c>
    </row>
    <row r="60" spans="1:7" outlineLevel="2" x14ac:dyDescent="0.25">
      <c r="A60" s="8" t="s">
        <v>33</v>
      </c>
      <c r="B60" s="18" t="s">
        <v>64</v>
      </c>
      <c r="C60" s="18" t="s">
        <v>66</v>
      </c>
      <c r="D60" s="9">
        <v>800</v>
      </c>
      <c r="E60" s="19">
        <f>125000-1421.6-350-7325.6-62561.8-1114+63941.6+40840.1</f>
        <v>157008.69999999998</v>
      </c>
      <c r="F60" s="19">
        <v>82102.2</v>
      </c>
      <c r="G60" s="19">
        <v>82102.2</v>
      </c>
    </row>
    <row r="61" spans="1:7" ht="31.5" outlineLevel="1" x14ac:dyDescent="0.25">
      <c r="A61" s="20" t="s">
        <v>527</v>
      </c>
      <c r="B61" s="18" t="s">
        <v>529</v>
      </c>
      <c r="C61" s="18"/>
      <c r="D61" s="18"/>
      <c r="E61" s="19">
        <f>E62</f>
        <v>665</v>
      </c>
      <c r="F61" s="19">
        <f t="shared" ref="F61:G65" si="14">F62</f>
        <v>0</v>
      </c>
      <c r="G61" s="19">
        <f t="shared" si="14"/>
        <v>0</v>
      </c>
    </row>
    <row r="62" spans="1:7" ht="47.25" outlineLevel="2" x14ac:dyDescent="0.25">
      <c r="A62" s="20" t="s">
        <v>372</v>
      </c>
      <c r="B62" s="18" t="s">
        <v>529</v>
      </c>
      <c r="C62" s="18" t="s">
        <v>373</v>
      </c>
      <c r="D62" s="18"/>
      <c r="E62" s="19">
        <f>E63</f>
        <v>665</v>
      </c>
      <c r="F62" s="19">
        <f t="shared" si="14"/>
        <v>0</v>
      </c>
      <c r="G62" s="19">
        <f t="shared" si="14"/>
        <v>0</v>
      </c>
    </row>
    <row r="63" spans="1:7" outlineLevel="2" x14ac:dyDescent="0.25">
      <c r="A63" s="20" t="s">
        <v>145</v>
      </c>
      <c r="B63" s="18" t="s">
        <v>529</v>
      </c>
      <c r="C63" s="18" t="s">
        <v>410</v>
      </c>
      <c r="D63" s="18"/>
      <c r="E63" s="19">
        <f t="shared" ref="E63:E65" si="15">E64</f>
        <v>665</v>
      </c>
      <c r="F63" s="19">
        <f t="shared" si="14"/>
        <v>0</v>
      </c>
      <c r="G63" s="19">
        <f t="shared" si="14"/>
        <v>0</v>
      </c>
    </row>
    <row r="64" spans="1:7" ht="47.25" outlineLevel="2" x14ac:dyDescent="0.25">
      <c r="A64" s="20" t="s">
        <v>411</v>
      </c>
      <c r="B64" s="18" t="s">
        <v>529</v>
      </c>
      <c r="C64" s="18" t="s">
        <v>412</v>
      </c>
      <c r="D64" s="18"/>
      <c r="E64" s="19">
        <f t="shared" si="15"/>
        <v>665</v>
      </c>
      <c r="F64" s="19">
        <f t="shared" si="14"/>
        <v>0</v>
      </c>
      <c r="G64" s="19">
        <f t="shared" si="14"/>
        <v>0</v>
      </c>
    </row>
    <row r="65" spans="1:7" outlineLevel="2" x14ac:dyDescent="0.25">
      <c r="A65" s="20" t="s">
        <v>528</v>
      </c>
      <c r="B65" s="18" t="s">
        <v>529</v>
      </c>
      <c r="C65" s="18" t="s">
        <v>530</v>
      </c>
      <c r="D65" s="18"/>
      <c r="E65" s="19">
        <f t="shared" si="15"/>
        <v>665</v>
      </c>
      <c r="F65" s="19">
        <f t="shared" si="14"/>
        <v>0</v>
      </c>
      <c r="G65" s="19">
        <f t="shared" si="14"/>
        <v>0</v>
      </c>
    </row>
    <row r="66" spans="1:7" ht="31.5" outlineLevel="2" x14ac:dyDescent="0.25">
      <c r="A66" s="20" t="s">
        <v>76</v>
      </c>
      <c r="B66" s="18" t="s">
        <v>529</v>
      </c>
      <c r="C66" s="18" t="s">
        <v>530</v>
      </c>
      <c r="D66" s="18" t="s">
        <v>39</v>
      </c>
      <c r="E66" s="19">
        <v>665</v>
      </c>
      <c r="F66" s="19"/>
      <c r="G66" s="19"/>
    </row>
    <row r="67" spans="1:7" outlineLevel="1" x14ac:dyDescent="0.25">
      <c r="A67" s="20" t="s">
        <v>23</v>
      </c>
      <c r="B67" s="18" t="s">
        <v>24</v>
      </c>
      <c r="C67" s="18"/>
      <c r="D67" s="9"/>
      <c r="E67" s="1">
        <f>E68+E88+E98</f>
        <v>374433</v>
      </c>
      <c r="F67" s="1">
        <f t="shared" ref="F67:G67" si="16">F68+F88+F98</f>
        <v>344339.89999999997</v>
      </c>
      <c r="G67" s="1">
        <f t="shared" si="16"/>
        <v>354032.5</v>
      </c>
    </row>
    <row r="68" spans="1:7" outlineLevel="2" x14ac:dyDescent="0.25">
      <c r="A68" s="20" t="s">
        <v>9</v>
      </c>
      <c r="B68" s="18" t="s">
        <v>24</v>
      </c>
      <c r="C68" s="18" t="s">
        <v>10</v>
      </c>
      <c r="D68" s="9"/>
      <c r="E68" s="1">
        <f>E69+E71+E76+E78+E84+E86+E80+E82</f>
        <v>273884.40000000002</v>
      </c>
      <c r="F68" s="1">
        <f t="shared" ref="F68:G68" si="17">F69+F71+F76+F78+F84+F86</f>
        <v>244772.3</v>
      </c>
      <c r="G68" s="1">
        <f t="shared" si="17"/>
        <v>252955.69999999998</v>
      </c>
    </row>
    <row r="69" spans="1:7" ht="31.5" outlineLevel="2" x14ac:dyDescent="0.25">
      <c r="A69" s="17" t="s">
        <v>84</v>
      </c>
      <c r="B69" s="18" t="s">
        <v>24</v>
      </c>
      <c r="C69" s="18" t="s">
        <v>85</v>
      </c>
      <c r="D69" s="9"/>
      <c r="E69" s="19">
        <f>E70</f>
        <v>10</v>
      </c>
      <c r="F69" s="19">
        <f t="shared" ref="F69:G69" si="18">F70</f>
        <v>10</v>
      </c>
      <c r="G69" s="19">
        <f t="shared" si="18"/>
        <v>10</v>
      </c>
    </row>
    <row r="70" spans="1:7" ht="22.5" customHeight="1" outlineLevel="2" x14ac:dyDescent="0.25">
      <c r="A70" s="17" t="s">
        <v>20</v>
      </c>
      <c r="B70" s="18" t="s">
        <v>24</v>
      </c>
      <c r="C70" s="18" t="s">
        <v>85</v>
      </c>
      <c r="D70" s="9">
        <v>300</v>
      </c>
      <c r="E70" s="19">
        <v>10</v>
      </c>
      <c r="F70" s="19">
        <v>10</v>
      </c>
      <c r="G70" s="19">
        <v>10</v>
      </c>
    </row>
    <row r="71" spans="1:7" ht="35.25" customHeight="1" outlineLevel="2" x14ac:dyDescent="0.25">
      <c r="A71" s="22" t="s">
        <v>152</v>
      </c>
      <c r="B71" s="18" t="s">
        <v>24</v>
      </c>
      <c r="C71" s="18" t="s">
        <v>45</v>
      </c>
      <c r="D71" s="9"/>
      <c r="E71" s="19">
        <f>SUM(E72:E75)</f>
        <v>227581.4</v>
      </c>
      <c r="F71" s="19">
        <f t="shared" ref="F71:G71" si="19">SUM(F72:F75)</f>
        <v>230146.9</v>
      </c>
      <c r="G71" s="19">
        <f t="shared" si="19"/>
        <v>238330.3</v>
      </c>
    </row>
    <row r="72" spans="1:7" ht="94.5" outlineLevel="2" x14ac:dyDescent="0.25">
      <c r="A72" s="17" t="s">
        <v>13</v>
      </c>
      <c r="B72" s="18" t="s">
        <v>24</v>
      </c>
      <c r="C72" s="18" t="s">
        <v>45</v>
      </c>
      <c r="D72" s="9">
        <v>100</v>
      </c>
      <c r="E72" s="19">
        <f>171071.1+4515.4</f>
        <v>175586.5</v>
      </c>
      <c r="F72" s="19">
        <v>177913.9</v>
      </c>
      <c r="G72" s="19">
        <v>185030.5</v>
      </c>
    </row>
    <row r="73" spans="1:7" ht="31.5" outlineLevel="2" x14ac:dyDescent="0.25">
      <c r="A73" s="17" t="s">
        <v>76</v>
      </c>
      <c r="B73" s="18" t="s">
        <v>24</v>
      </c>
      <c r="C73" s="18" t="s">
        <v>45</v>
      </c>
      <c r="D73" s="9">
        <v>200</v>
      </c>
      <c r="E73" s="19">
        <f>49178-10</f>
        <v>49168</v>
      </c>
      <c r="F73" s="19">
        <v>49416.1</v>
      </c>
      <c r="G73" s="19">
        <v>50482.9</v>
      </c>
    </row>
    <row r="74" spans="1:7" ht="31.5" outlineLevel="2" x14ac:dyDescent="0.25">
      <c r="A74" s="17" t="s">
        <v>20</v>
      </c>
      <c r="B74" s="18" t="s">
        <v>24</v>
      </c>
      <c r="C74" s="18" t="s">
        <v>45</v>
      </c>
      <c r="D74" s="18" t="s">
        <v>565</v>
      </c>
      <c r="E74" s="19">
        <v>10</v>
      </c>
      <c r="F74" s="19">
        <v>0</v>
      </c>
      <c r="G74" s="19">
        <v>0</v>
      </c>
    </row>
    <row r="75" spans="1:7" outlineLevel="2" x14ac:dyDescent="0.25">
      <c r="A75" s="22" t="s">
        <v>33</v>
      </c>
      <c r="B75" s="18" t="s">
        <v>24</v>
      </c>
      <c r="C75" s="18" t="s">
        <v>45</v>
      </c>
      <c r="D75" s="9">
        <v>800</v>
      </c>
      <c r="E75" s="19">
        <v>2816.9</v>
      </c>
      <c r="F75" s="19">
        <v>2816.9</v>
      </c>
      <c r="G75" s="19">
        <v>2816.9</v>
      </c>
    </row>
    <row r="76" spans="1:7" ht="94.5" outlineLevel="2" x14ac:dyDescent="0.25">
      <c r="A76" s="8" t="s">
        <v>143</v>
      </c>
      <c r="B76" s="18" t="s">
        <v>24</v>
      </c>
      <c r="C76" s="18" t="s">
        <v>144</v>
      </c>
      <c r="D76" s="9"/>
      <c r="E76" s="19">
        <f>E77</f>
        <v>31677.600000000006</v>
      </c>
      <c r="F76" s="19">
        <f t="shared" ref="F76:G76" si="20">F77</f>
        <v>0</v>
      </c>
      <c r="G76" s="19">
        <f t="shared" si="20"/>
        <v>0</v>
      </c>
    </row>
    <row r="77" spans="1:7" outlineLevel="2" x14ac:dyDescent="0.25">
      <c r="A77" s="8" t="s">
        <v>33</v>
      </c>
      <c r="B77" s="18" t="s">
        <v>24</v>
      </c>
      <c r="C77" s="18" t="s">
        <v>144</v>
      </c>
      <c r="D77" s="9">
        <v>800</v>
      </c>
      <c r="E77" s="19">
        <f>60000-1135-3060.9-6766-464.2-17.7-3997.4-374.8-99.3-55.2-510.6-1327.6-300-9297.6-4.5-485.8-425.8</f>
        <v>31677.600000000006</v>
      </c>
      <c r="F77" s="19">
        <v>0</v>
      </c>
      <c r="G77" s="19">
        <v>0</v>
      </c>
    </row>
    <row r="78" spans="1:7" ht="63" outlineLevel="2" x14ac:dyDescent="0.25">
      <c r="A78" s="17" t="s">
        <v>46</v>
      </c>
      <c r="B78" s="18" t="s">
        <v>24</v>
      </c>
      <c r="C78" s="18" t="s">
        <v>47</v>
      </c>
      <c r="D78" s="9"/>
      <c r="E78" s="19">
        <f>E79</f>
        <v>10691.1</v>
      </c>
      <c r="F78" s="19">
        <f>F79</f>
        <v>13236.1</v>
      </c>
      <c r="G78" s="19">
        <f>G79</f>
        <v>13236.1</v>
      </c>
    </row>
    <row r="79" spans="1:7" outlineLevel="2" x14ac:dyDescent="0.25">
      <c r="A79" s="22" t="s">
        <v>33</v>
      </c>
      <c r="B79" s="18" t="s">
        <v>24</v>
      </c>
      <c r="C79" s="18" t="s">
        <v>47</v>
      </c>
      <c r="D79" s="9">
        <v>800</v>
      </c>
      <c r="E79" s="19">
        <f>13025.6+210.5-2545</f>
        <v>10691.1</v>
      </c>
      <c r="F79" s="19">
        <f t="shared" ref="F79:G79" si="21">13025.6+210.5</f>
        <v>13236.1</v>
      </c>
      <c r="G79" s="19">
        <f t="shared" si="21"/>
        <v>13236.1</v>
      </c>
    </row>
    <row r="80" spans="1:7" outlineLevel="2" x14ac:dyDescent="0.25">
      <c r="A80" s="20" t="s">
        <v>575</v>
      </c>
      <c r="B80" s="18" t="s">
        <v>24</v>
      </c>
      <c r="C80" s="18" t="s">
        <v>577</v>
      </c>
      <c r="D80" s="18"/>
      <c r="E80" s="19">
        <f>E81</f>
        <v>115</v>
      </c>
      <c r="F80" s="19">
        <f t="shared" ref="F80:G80" si="22">F81</f>
        <v>0</v>
      </c>
      <c r="G80" s="19">
        <f t="shared" si="22"/>
        <v>0</v>
      </c>
    </row>
    <row r="81" spans="1:7" outlineLevel="2" x14ac:dyDescent="0.25">
      <c r="A81" s="20" t="s">
        <v>33</v>
      </c>
      <c r="B81" s="18" t="s">
        <v>24</v>
      </c>
      <c r="C81" s="18" t="s">
        <v>577</v>
      </c>
      <c r="D81" s="18">
        <v>800</v>
      </c>
      <c r="E81" s="19">
        <v>115</v>
      </c>
      <c r="F81" s="19">
        <v>0</v>
      </c>
      <c r="G81" s="19">
        <v>0</v>
      </c>
    </row>
    <row r="82" spans="1:7" outlineLevel="2" x14ac:dyDescent="0.25">
      <c r="A82" s="20" t="s">
        <v>576</v>
      </c>
      <c r="B82" s="18" t="s">
        <v>24</v>
      </c>
      <c r="C82" s="18" t="s">
        <v>578</v>
      </c>
      <c r="D82" s="18"/>
      <c r="E82" s="19">
        <f>E83</f>
        <v>2430</v>
      </c>
      <c r="F82" s="19">
        <f t="shared" ref="F82:G82" si="23">F83</f>
        <v>0</v>
      </c>
      <c r="G82" s="19">
        <f t="shared" si="23"/>
        <v>0</v>
      </c>
    </row>
    <row r="83" spans="1:7" outlineLevel="2" x14ac:dyDescent="0.25">
      <c r="A83" s="20" t="s">
        <v>33</v>
      </c>
      <c r="B83" s="18" t="s">
        <v>24</v>
      </c>
      <c r="C83" s="18" t="s">
        <v>578</v>
      </c>
      <c r="D83" s="18">
        <v>800</v>
      </c>
      <c r="E83" s="19">
        <v>2430</v>
      </c>
      <c r="F83" s="19">
        <v>0</v>
      </c>
      <c r="G83" s="19">
        <v>0</v>
      </c>
    </row>
    <row r="84" spans="1:7" ht="47.25" outlineLevel="2" x14ac:dyDescent="0.25">
      <c r="A84" s="8" t="s">
        <v>495</v>
      </c>
      <c r="B84" s="18" t="s">
        <v>24</v>
      </c>
      <c r="C84" s="18" t="s">
        <v>131</v>
      </c>
      <c r="D84" s="9"/>
      <c r="E84" s="1">
        <f>E85</f>
        <v>287.39999999999998</v>
      </c>
      <c r="F84" s="1">
        <f>F85</f>
        <v>287.39999999999998</v>
      </c>
      <c r="G84" s="21">
        <f>G85</f>
        <v>287.39999999999998</v>
      </c>
    </row>
    <row r="85" spans="1:7" ht="31.5" outlineLevel="2" x14ac:dyDescent="0.25">
      <c r="A85" s="20" t="s">
        <v>20</v>
      </c>
      <c r="B85" s="18" t="s">
        <v>24</v>
      </c>
      <c r="C85" s="18" t="s">
        <v>131</v>
      </c>
      <c r="D85" s="9">
        <v>300</v>
      </c>
      <c r="E85" s="1">
        <v>287.39999999999998</v>
      </c>
      <c r="F85" s="1">
        <v>287.39999999999998</v>
      </c>
      <c r="G85" s="21">
        <v>287.39999999999998</v>
      </c>
    </row>
    <row r="86" spans="1:7" ht="47.25" outlineLevel="2" x14ac:dyDescent="0.25">
      <c r="A86" s="20" t="s">
        <v>25</v>
      </c>
      <c r="B86" s="18" t="s">
        <v>24</v>
      </c>
      <c r="C86" s="18" t="s">
        <v>26</v>
      </c>
      <c r="D86" s="9"/>
      <c r="E86" s="1">
        <f>E87</f>
        <v>1091.9000000000001</v>
      </c>
      <c r="F86" s="1">
        <f>F87</f>
        <v>1091.9000000000001</v>
      </c>
      <c r="G86" s="21">
        <f>G87</f>
        <v>1091.9000000000001</v>
      </c>
    </row>
    <row r="87" spans="1:7" ht="31.5" outlineLevel="2" x14ac:dyDescent="0.25">
      <c r="A87" s="20" t="s">
        <v>20</v>
      </c>
      <c r="B87" s="18" t="s">
        <v>24</v>
      </c>
      <c r="C87" s="18" t="s">
        <v>26</v>
      </c>
      <c r="D87" s="9">
        <v>300</v>
      </c>
      <c r="E87" s="1">
        <f>402.3+689.6</f>
        <v>1091.9000000000001</v>
      </c>
      <c r="F87" s="1">
        <f t="shared" ref="F87:G87" si="24">402.3+689.6</f>
        <v>1091.9000000000001</v>
      </c>
      <c r="G87" s="1">
        <f t="shared" si="24"/>
        <v>1091.9000000000001</v>
      </c>
    </row>
    <row r="88" spans="1:7" ht="47.25" outlineLevel="2" x14ac:dyDescent="0.25">
      <c r="A88" s="29" t="s">
        <v>59</v>
      </c>
      <c r="B88" s="3" t="s">
        <v>24</v>
      </c>
      <c r="C88" s="3" t="s">
        <v>60</v>
      </c>
      <c r="D88" s="18"/>
      <c r="E88" s="19">
        <f>E89</f>
        <v>100270.09999999999</v>
      </c>
      <c r="F88" s="19">
        <f t="shared" ref="E88:G89" si="25">F89</f>
        <v>99289.099999999991</v>
      </c>
      <c r="G88" s="19">
        <f t="shared" si="25"/>
        <v>100798.29999999999</v>
      </c>
    </row>
    <row r="89" spans="1:7" outlineLevel="2" x14ac:dyDescent="0.25">
      <c r="A89" s="29" t="s">
        <v>145</v>
      </c>
      <c r="B89" s="3" t="s">
        <v>24</v>
      </c>
      <c r="C89" s="3" t="s">
        <v>136</v>
      </c>
      <c r="D89" s="18"/>
      <c r="E89" s="19">
        <f t="shared" si="25"/>
        <v>100270.09999999999</v>
      </c>
      <c r="F89" s="19">
        <f t="shared" si="25"/>
        <v>99289.099999999991</v>
      </c>
      <c r="G89" s="19">
        <f t="shared" si="25"/>
        <v>100798.29999999999</v>
      </c>
    </row>
    <row r="90" spans="1:7" ht="110.25" outlineLevel="2" x14ac:dyDescent="0.25">
      <c r="A90" s="29" t="s">
        <v>505</v>
      </c>
      <c r="B90" s="3" t="s">
        <v>24</v>
      </c>
      <c r="C90" s="3" t="s">
        <v>404</v>
      </c>
      <c r="D90" s="18"/>
      <c r="E90" s="19">
        <f>E91+E95</f>
        <v>100270.09999999999</v>
      </c>
      <c r="F90" s="19">
        <f>F91+F95</f>
        <v>99289.099999999991</v>
      </c>
      <c r="G90" s="19">
        <f>G91+G95</f>
        <v>100798.29999999999</v>
      </c>
    </row>
    <row r="91" spans="1:7" ht="47.25" outlineLevel="2" x14ac:dyDescent="0.25">
      <c r="A91" s="8" t="s">
        <v>160</v>
      </c>
      <c r="B91" s="3" t="s">
        <v>24</v>
      </c>
      <c r="C91" s="3" t="s">
        <v>486</v>
      </c>
      <c r="D91" s="30"/>
      <c r="E91" s="19">
        <f>E92+E93+E94</f>
        <v>62254.799999999996</v>
      </c>
      <c r="F91" s="19">
        <f t="shared" ref="F91:G91" si="26">F92+F93+F94</f>
        <v>59805.999999999993</v>
      </c>
      <c r="G91" s="19">
        <f t="shared" si="26"/>
        <v>59805.999999999993</v>
      </c>
    </row>
    <row r="92" spans="1:7" ht="94.5" outlineLevel="2" x14ac:dyDescent="0.25">
      <c r="A92" s="20" t="s">
        <v>75</v>
      </c>
      <c r="B92" s="3" t="s">
        <v>24</v>
      </c>
      <c r="C92" s="3" t="s">
        <v>486</v>
      </c>
      <c r="D92" s="30">
        <v>100</v>
      </c>
      <c r="E92" s="19">
        <f>55534.7+4071.7</f>
        <v>59606.399999999994</v>
      </c>
      <c r="F92" s="19">
        <v>57388.2</v>
      </c>
      <c r="G92" s="19">
        <v>57388.2</v>
      </c>
    </row>
    <row r="93" spans="1:7" ht="31.5" outlineLevel="2" x14ac:dyDescent="0.25">
      <c r="A93" s="20" t="s">
        <v>76</v>
      </c>
      <c r="B93" s="3" t="s">
        <v>24</v>
      </c>
      <c r="C93" s="3" t="s">
        <v>486</v>
      </c>
      <c r="D93" s="30">
        <v>200</v>
      </c>
      <c r="E93" s="19">
        <v>2418.3000000000002</v>
      </c>
      <c r="F93" s="19">
        <v>2187.6999999999998</v>
      </c>
      <c r="G93" s="19">
        <v>2187.6999999999998</v>
      </c>
    </row>
    <row r="94" spans="1:7" outlineLevel="2" x14ac:dyDescent="0.25">
      <c r="A94" s="8" t="s">
        <v>33</v>
      </c>
      <c r="B94" s="3" t="s">
        <v>24</v>
      </c>
      <c r="C94" s="3" t="s">
        <v>486</v>
      </c>
      <c r="D94" s="30">
        <v>800</v>
      </c>
      <c r="E94" s="19">
        <v>230.1</v>
      </c>
      <c r="F94" s="19">
        <v>230.1</v>
      </c>
      <c r="G94" s="19">
        <v>230.1</v>
      </c>
    </row>
    <row r="95" spans="1:7" ht="47.25" outlineLevel="2" x14ac:dyDescent="0.25">
      <c r="A95" s="20" t="s">
        <v>152</v>
      </c>
      <c r="B95" s="3" t="s">
        <v>24</v>
      </c>
      <c r="C95" s="3" t="s">
        <v>483</v>
      </c>
      <c r="D95" s="30"/>
      <c r="E95" s="19">
        <f>E96+E97</f>
        <v>38015.299999999996</v>
      </c>
      <c r="F95" s="19">
        <f>F96+F97</f>
        <v>39483.1</v>
      </c>
      <c r="G95" s="19">
        <f>G96+G97</f>
        <v>40992.299999999996</v>
      </c>
    </row>
    <row r="96" spans="1:7" ht="94.5" outlineLevel="2" x14ac:dyDescent="0.25">
      <c r="A96" s="8" t="s">
        <v>75</v>
      </c>
      <c r="B96" s="3" t="s">
        <v>24</v>
      </c>
      <c r="C96" s="3" t="s">
        <v>483</v>
      </c>
      <c r="D96" s="30">
        <v>100</v>
      </c>
      <c r="E96" s="19">
        <f>27865.8+8415.4</f>
        <v>36281.199999999997</v>
      </c>
      <c r="F96" s="19">
        <f>28980.4+8752.1</f>
        <v>37732.5</v>
      </c>
      <c r="G96" s="19">
        <f>30139.6+9102.1</f>
        <v>39241.699999999997</v>
      </c>
    </row>
    <row r="97" spans="1:7" ht="31.5" outlineLevel="2" x14ac:dyDescent="0.25">
      <c r="A97" s="8" t="s">
        <v>76</v>
      </c>
      <c r="B97" s="3" t="s">
        <v>24</v>
      </c>
      <c r="C97" s="3" t="s">
        <v>483</v>
      </c>
      <c r="D97" s="30">
        <v>200</v>
      </c>
      <c r="E97" s="19">
        <v>1734.1</v>
      </c>
      <c r="F97" s="19">
        <v>1750.6</v>
      </c>
      <c r="G97" s="19">
        <v>1750.6</v>
      </c>
    </row>
    <row r="98" spans="1:7" ht="78.75" outlineLevel="2" x14ac:dyDescent="0.25">
      <c r="A98" s="17" t="s">
        <v>349</v>
      </c>
      <c r="B98" s="3" t="s">
        <v>24</v>
      </c>
      <c r="C98" s="3" t="s">
        <v>54</v>
      </c>
      <c r="D98" s="30"/>
      <c r="E98" s="19">
        <f t="shared" ref="E98:G101" si="27">E99</f>
        <v>278.5</v>
      </c>
      <c r="F98" s="19">
        <f t="shared" si="27"/>
        <v>278.5</v>
      </c>
      <c r="G98" s="19">
        <f t="shared" si="27"/>
        <v>278.5</v>
      </c>
    </row>
    <row r="99" spans="1:7" outlineLevel="2" x14ac:dyDescent="0.25">
      <c r="A99" s="31" t="s">
        <v>145</v>
      </c>
      <c r="B99" s="3" t="s">
        <v>24</v>
      </c>
      <c r="C99" s="3" t="s">
        <v>83</v>
      </c>
      <c r="D99" s="30"/>
      <c r="E99" s="19">
        <f t="shared" si="27"/>
        <v>278.5</v>
      </c>
      <c r="F99" s="19">
        <f t="shared" si="27"/>
        <v>278.5</v>
      </c>
      <c r="G99" s="19">
        <f t="shared" si="27"/>
        <v>278.5</v>
      </c>
    </row>
    <row r="100" spans="1:7" ht="78.75" outlineLevel="2" x14ac:dyDescent="0.25">
      <c r="A100" s="17" t="s">
        <v>516</v>
      </c>
      <c r="B100" s="3" t="s">
        <v>24</v>
      </c>
      <c r="C100" s="3" t="s">
        <v>407</v>
      </c>
      <c r="D100" s="30"/>
      <c r="E100" s="19">
        <f t="shared" si="27"/>
        <v>278.5</v>
      </c>
      <c r="F100" s="19">
        <f t="shared" si="27"/>
        <v>278.5</v>
      </c>
      <c r="G100" s="19">
        <f t="shared" si="27"/>
        <v>278.5</v>
      </c>
    </row>
    <row r="101" spans="1:7" ht="63" outlineLevel="2" x14ac:dyDescent="0.25">
      <c r="A101" s="8" t="s">
        <v>484</v>
      </c>
      <c r="B101" s="3" t="s">
        <v>24</v>
      </c>
      <c r="C101" s="3" t="s">
        <v>485</v>
      </c>
      <c r="D101" s="30"/>
      <c r="E101" s="19">
        <f t="shared" si="27"/>
        <v>278.5</v>
      </c>
      <c r="F101" s="19">
        <f t="shared" si="27"/>
        <v>278.5</v>
      </c>
      <c r="G101" s="19">
        <f t="shared" si="27"/>
        <v>278.5</v>
      </c>
    </row>
    <row r="102" spans="1:7" ht="31.5" outlineLevel="2" x14ac:dyDescent="0.25">
      <c r="A102" s="8" t="s">
        <v>76</v>
      </c>
      <c r="B102" s="3" t="s">
        <v>24</v>
      </c>
      <c r="C102" s="3" t="s">
        <v>485</v>
      </c>
      <c r="D102" s="30">
        <v>200</v>
      </c>
      <c r="E102" s="19">
        <v>278.5</v>
      </c>
      <c r="F102" s="19">
        <v>278.5</v>
      </c>
      <c r="G102" s="19">
        <v>278.5</v>
      </c>
    </row>
    <row r="103" spans="1:7" ht="31.5" x14ac:dyDescent="0.25">
      <c r="A103" s="13" t="s">
        <v>67</v>
      </c>
      <c r="B103" s="14" t="s">
        <v>68</v>
      </c>
      <c r="C103" s="14"/>
      <c r="D103" s="15"/>
      <c r="E103" s="32">
        <f>E104</f>
        <v>184734.6</v>
      </c>
      <c r="F103" s="32">
        <f t="shared" ref="F103:G104" si="28">F104</f>
        <v>178334.8</v>
      </c>
      <c r="G103" s="32">
        <f t="shared" si="28"/>
        <v>181922.19999999998</v>
      </c>
    </row>
    <row r="104" spans="1:7" ht="47.25" outlineLevel="1" x14ac:dyDescent="0.25">
      <c r="A104" s="8" t="s">
        <v>69</v>
      </c>
      <c r="B104" s="18" t="s">
        <v>70</v>
      </c>
      <c r="C104" s="18"/>
      <c r="D104" s="9"/>
      <c r="E104" s="19">
        <f>E105</f>
        <v>184734.6</v>
      </c>
      <c r="F104" s="19">
        <f t="shared" si="28"/>
        <v>178334.8</v>
      </c>
      <c r="G104" s="19">
        <f t="shared" si="28"/>
        <v>181922.19999999998</v>
      </c>
    </row>
    <row r="105" spans="1:7" ht="47.25" outlineLevel="2" x14ac:dyDescent="0.25">
      <c r="A105" s="8" t="s">
        <v>49</v>
      </c>
      <c r="B105" s="18" t="s">
        <v>70</v>
      </c>
      <c r="C105" s="18" t="s">
        <v>50</v>
      </c>
      <c r="D105" s="9"/>
      <c r="E105" s="19">
        <f>E106+E110</f>
        <v>184734.6</v>
      </c>
      <c r="F105" s="19">
        <f t="shared" ref="F105:G105" si="29">F106+F110</f>
        <v>178334.8</v>
      </c>
      <c r="G105" s="19">
        <f t="shared" si="29"/>
        <v>181922.19999999998</v>
      </c>
    </row>
    <row r="106" spans="1:7" outlineLevel="2" x14ac:dyDescent="0.25">
      <c r="A106" s="33" t="s">
        <v>156</v>
      </c>
      <c r="B106" s="18" t="s">
        <v>70</v>
      </c>
      <c r="C106" s="18" t="s">
        <v>71</v>
      </c>
      <c r="D106" s="9"/>
      <c r="E106" s="19">
        <f>E107</f>
        <v>3936.2</v>
      </c>
      <c r="F106" s="19">
        <f t="shared" ref="F106:G108" si="30">F107</f>
        <v>3932</v>
      </c>
      <c r="G106" s="19">
        <f t="shared" si="30"/>
        <v>3932</v>
      </c>
    </row>
    <row r="107" spans="1:7" ht="47.25" outlineLevel="2" x14ac:dyDescent="0.25">
      <c r="A107" s="33" t="s">
        <v>146</v>
      </c>
      <c r="B107" s="18" t="s">
        <v>70</v>
      </c>
      <c r="C107" s="18" t="s">
        <v>72</v>
      </c>
      <c r="D107" s="9"/>
      <c r="E107" s="19">
        <f>E108</f>
        <v>3936.2</v>
      </c>
      <c r="F107" s="19">
        <f t="shared" si="30"/>
        <v>3932</v>
      </c>
      <c r="G107" s="19">
        <f t="shared" si="30"/>
        <v>3932</v>
      </c>
    </row>
    <row r="108" spans="1:7" ht="31.5" outlineLevel="2" x14ac:dyDescent="0.25">
      <c r="A108" s="34" t="s">
        <v>147</v>
      </c>
      <c r="B108" s="18" t="s">
        <v>70</v>
      </c>
      <c r="C108" s="18" t="s">
        <v>148</v>
      </c>
      <c r="D108" s="9"/>
      <c r="E108" s="19">
        <f>E109</f>
        <v>3936.2</v>
      </c>
      <c r="F108" s="19">
        <f t="shared" si="30"/>
        <v>3932</v>
      </c>
      <c r="G108" s="19">
        <f t="shared" si="30"/>
        <v>3932</v>
      </c>
    </row>
    <row r="109" spans="1:7" ht="31.5" outlineLevel="2" x14ac:dyDescent="0.25">
      <c r="A109" s="20" t="s">
        <v>76</v>
      </c>
      <c r="B109" s="18" t="s">
        <v>70</v>
      </c>
      <c r="C109" s="18" t="s">
        <v>148</v>
      </c>
      <c r="D109" s="9">
        <v>200</v>
      </c>
      <c r="E109" s="19">
        <f>2281.2+99.3+1555.7</f>
        <v>3936.2</v>
      </c>
      <c r="F109" s="19">
        <f>2281.2+99+1551.8</f>
        <v>3932</v>
      </c>
      <c r="G109" s="19">
        <f>2281.2+99+1551.8</f>
        <v>3932</v>
      </c>
    </row>
    <row r="110" spans="1:7" outlineLevel="2" x14ac:dyDescent="0.25">
      <c r="A110" s="35" t="s">
        <v>145</v>
      </c>
      <c r="B110" s="18" t="s">
        <v>70</v>
      </c>
      <c r="C110" s="18" t="s">
        <v>73</v>
      </c>
      <c r="D110" s="9"/>
      <c r="E110" s="19">
        <f>E111</f>
        <v>180798.4</v>
      </c>
      <c r="F110" s="19">
        <f t="shared" ref="F110:G110" si="31">F111</f>
        <v>174402.8</v>
      </c>
      <c r="G110" s="19">
        <f t="shared" si="31"/>
        <v>177990.19999999998</v>
      </c>
    </row>
    <row r="111" spans="1:7" ht="126" outlineLevel="2" x14ac:dyDescent="0.25">
      <c r="A111" s="35" t="s">
        <v>511</v>
      </c>
      <c r="B111" s="18" t="s">
        <v>70</v>
      </c>
      <c r="C111" s="18" t="s">
        <v>74</v>
      </c>
      <c r="D111" s="9"/>
      <c r="E111" s="19">
        <f>E112+E114+E116</f>
        <v>180798.4</v>
      </c>
      <c r="F111" s="19">
        <f t="shared" ref="F111:G111" si="32">F112+F114+F116</f>
        <v>174402.8</v>
      </c>
      <c r="G111" s="19">
        <f t="shared" si="32"/>
        <v>177990.19999999998</v>
      </c>
    </row>
    <row r="112" spans="1:7" ht="31.5" outlineLevel="2" x14ac:dyDescent="0.25">
      <c r="A112" s="20" t="s">
        <v>496</v>
      </c>
      <c r="B112" s="18" t="s">
        <v>70</v>
      </c>
      <c r="C112" s="18" t="s">
        <v>149</v>
      </c>
      <c r="D112" s="9"/>
      <c r="E112" s="19">
        <f>E113</f>
        <v>49591.6</v>
      </c>
      <c r="F112" s="19">
        <f>F113</f>
        <v>49591.6</v>
      </c>
      <c r="G112" s="19">
        <f>G113</f>
        <v>49591.6</v>
      </c>
    </row>
    <row r="113" spans="1:7" ht="31.5" outlineLevel="2" x14ac:dyDescent="0.25">
      <c r="A113" s="20" t="s">
        <v>76</v>
      </c>
      <c r="B113" s="18" t="s">
        <v>70</v>
      </c>
      <c r="C113" s="18" t="s">
        <v>149</v>
      </c>
      <c r="D113" s="9">
        <v>200</v>
      </c>
      <c r="E113" s="19">
        <v>49591.6</v>
      </c>
      <c r="F113" s="19">
        <v>49591.6</v>
      </c>
      <c r="G113" s="19">
        <v>49591.6</v>
      </c>
    </row>
    <row r="114" spans="1:7" ht="63" outlineLevel="2" x14ac:dyDescent="0.25">
      <c r="A114" s="20" t="s">
        <v>150</v>
      </c>
      <c r="B114" s="18" t="s">
        <v>70</v>
      </c>
      <c r="C114" s="18" t="s">
        <v>151</v>
      </c>
      <c r="D114" s="9"/>
      <c r="E114" s="19">
        <f>E115</f>
        <v>9282.5</v>
      </c>
      <c r="F114" s="19">
        <f t="shared" ref="F114:G114" si="33">F115</f>
        <v>6539.7</v>
      </c>
      <c r="G114" s="19">
        <f t="shared" si="33"/>
        <v>6539.7</v>
      </c>
    </row>
    <row r="115" spans="1:7" ht="31.5" outlineLevel="2" x14ac:dyDescent="0.25">
      <c r="A115" s="20" t="s">
        <v>76</v>
      </c>
      <c r="B115" s="18" t="s">
        <v>70</v>
      </c>
      <c r="C115" s="18" t="s">
        <v>151</v>
      </c>
      <c r="D115" s="9">
        <v>200</v>
      </c>
      <c r="E115" s="19">
        <f>5306.5+1233.2+2742.8</f>
        <v>9282.5</v>
      </c>
      <c r="F115" s="19">
        <f t="shared" ref="F115:G115" si="34">5306.5+1233.2</f>
        <v>6539.7</v>
      </c>
      <c r="G115" s="19">
        <f t="shared" si="34"/>
        <v>6539.7</v>
      </c>
    </row>
    <row r="116" spans="1:7" ht="47.25" outlineLevel="2" x14ac:dyDescent="0.25">
      <c r="A116" s="20" t="s">
        <v>152</v>
      </c>
      <c r="B116" s="18" t="s">
        <v>70</v>
      </c>
      <c r="C116" s="18" t="s">
        <v>153</v>
      </c>
      <c r="D116" s="9"/>
      <c r="E116" s="19">
        <f>E117+E118+E119</f>
        <v>121924.29999999999</v>
      </c>
      <c r="F116" s="19">
        <f t="shared" ref="F116:G116" si="35">F117+F118+F119</f>
        <v>118271.5</v>
      </c>
      <c r="G116" s="19">
        <f t="shared" si="35"/>
        <v>121858.9</v>
      </c>
    </row>
    <row r="117" spans="1:7" ht="94.5" outlineLevel="2" x14ac:dyDescent="0.25">
      <c r="A117" s="17" t="s">
        <v>13</v>
      </c>
      <c r="B117" s="18" t="s">
        <v>70</v>
      </c>
      <c r="C117" s="18" t="s">
        <v>153</v>
      </c>
      <c r="D117" s="9">
        <v>100</v>
      </c>
      <c r="E117" s="19">
        <f>98700.9+676.7+4192.2</f>
        <v>103569.79999999999</v>
      </c>
      <c r="F117" s="19">
        <f>102447+676.7-99</f>
        <v>103024.7</v>
      </c>
      <c r="G117" s="19">
        <f>106341.7+676.7-99</f>
        <v>106919.4</v>
      </c>
    </row>
    <row r="118" spans="1:7" ht="31.5" outlineLevel="2" x14ac:dyDescent="0.25">
      <c r="A118" s="17" t="s">
        <v>76</v>
      </c>
      <c r="B118" s="18" t="s">
        <v>70</v>
      </c>
      <c r="C118" s="18" t="s">
        <v>153</v>
      </c>
      <c r="D118" s="9">
        <v>200</v>
      </c>
      <c r="E118" s="19">
        <f>675.7+681.1+232.1+250+1499.9+4839.1+406.6+397.9+1300+580+7589.2-1233.2+291.3</f>
        <v>17509.699999999997</v>
      </c>
      <c r="F118" s="19">
        <f>675.7+681.1+250+1499.9+5085.2+406.6+397.9+1300+580+4758.8-1233.2</f>
        <v>14402</v>
      </c>
      <c r="G118" s="19">
        <f>675.7+281.1+250+1499.9+5324.9+406.6+397.9+1300+580+4611.8-1233.2</f>
        <v>14094.7</v>
      </c>
    </row>
    <row r="119" spans="1:7" outlineLevel="2" x14ac:dyDescent="0.25">
      <c r="A119" s="22" t="s">
        <v>33</v>
      </c>
      <c r="B119" s="18" t="s">
        <v>70</v>
      </c>
      <c r="C119" s="18" t="s">
        <v>153</v>
      </c>
      <c r="D119" s="9">
        <v>800</v>
      </c>
      <c r="E119" s="19">
        <v>844.8</v>
      </c>
      <c r="F119" s="19">
        <v>844.8</v>
      </c>
      <c r="G119" s="19">
        <v>844.8</v>
      </c>
    </row>
    <row r="120" spans="1:7" x14ac:dyDescent="0.25">
      <c r="A120" s="36" t="s">
        <v>48</v>
      </c>
      <c r="B120" s="37" t="s">
        <v>291</v>
      </c>
      <c r="C120" s="38"/>
      <c r="D120" s="38"/>
      <c r="E120" s="16">
        <f>E127+E139+E178+E121</f>
        <v>1525098.7</v>
      </c>
      <c r="F120" s="16">
        <f>F127+F139+F178+F121</f>
        <v>1099578</v>
      </c>
      <c r="G120" s="16">
        <f>G127+G139+G178+G121</f>
        <v>561122.1</v>
      </c>
    </row>
    <row r="121" spans="1:7" outlineLevel="1" x14ac:dyDescent="0.25">
      <c r="A121" s="8" t="s">
        <v>379</v>
      </c>
      <c r="B121" s="23" t="s">
        <v>380</v>
      </c>
      <c r="C121" s="23"/>
      <c r="D121" s="24"/>
      <c r="E121" s="19">
        <f>E122</f>
        <v>18798.5</v>
      </c>
      <c r="F121" s="19">
        <f>F122</f>
        <v>18798.5</v>
      </c>
      <c r="G121" s="19">
        <f t="shared" ref="F121:G125" si="36">G122</f>
        <v>18798.5</v>
      </c>
    </row>
    <row r="122" spans="1:7" ht="47.25" outlineLevel="2" x14ac:dyDescent="0.25">
      <c r="A122" s="20" t="s">
        <v>49</v>
      </c>
      <c r="B122" s="23" t="s">
        <v>380</v>
      </c>
      <c r="C122" s="18" t="s">
        <v>50</v>
      </c>
      <c r="D122" s="24"/>
      <c r="E122" s="19">
        <f>E123</f>
        <v>18798.5</v>
      </c>
      <c r="F122" s="19">
        <f t="shared" si="36"/>
        <v>18798.5</v>
      </c>
      <c r="G122" s="19">
        <f t="shared" si="36"/>
        <v>18798.5</v>
      </c>
    </row>
    <row r="123" spans="1:7" outlineLevel="2" x14ac:dyDescent="0.25">
      <c r="A123" s="39" t="s">
        <v>156</v>
      </c>
      <c r="B123" s="23" t="s">
        <v>380</v>
      </c>
      <c r="C123" s="23" t="s">
        <v>71</v>
      </c>
      <c r="D123" s="24"/>
      <c r="E123" s="19">
        <f>E124</f>
        <v>18798.5</v>
      </c>
      <c r="F123" s="19">
        <f t="shared" si="36"/>
        <v>18798.5</v>
      </c>
      <c r="G123" s="19">
        <f t="shared" si="36"/>
        <v>18798.5</v>
      </c>
    </row>
    <row r="124" spans="1:7" ht="47.25" outlineLevel="2" x14ac:dyDescent="0.25">
      <c r="A124" s="39" t="s">
        <v>381</v>
      </c>
      <c r="B124" s="23" t="s">
        <v>380</v>
      </c>
      <c r="C124" s="23" t="s">
        <v>382</v>
      </c>
      <c r="D124" s="24"/>
      <c r="E124" s="19">
        <f>E125</f>
        <v>18798.5</v>
      </c>
      <c r="F124" s="19">
        <f t="shared" si="36"/>
        <v>18798.5</v>
      </c>
      <c r="G124" s="19">
        <f t="shared" si="36"/>
        <v>18798.5</v>
      </c>
    </row>
    <row r="125" spans="1:7" ht="63" outlineLevel="2" x14ac:dyDescent="0.25">
      <c r="A125" s="2" t="s">
        <v>383</v>
      </c>
      <c r="B125" s="23" t="s">
        <v>380</v>
      </c>
      <c r="C125" s="18" t="s">
        <v>384</v>
      </c>
      <c r="D125" s="24"/>
      <c r="E125" s="19">
        <f>E126</f>
        <v>18798.5</v>
      </c>
      <c r="F125" s="19">
        <f t="shared" si="36"/>
        <v>18798.5</v>
      </c>
      <c r="G125" s="19">
        <f t="shared" si="36"/>
        <v>18798.5</v>
      </c>
    </row>
    <row r="126" spans="1:7" ht="31.5" outlineLevel="2" x14ac:dyDescent="0.25">
      <c r="A126" s="20" t="s">
        <v>76</v>
      </c>
      <c r="B126" s="23" t="s">
        <v>380</v>
      </c>
      <c r="C126" s="18" t="s">
        <v>384</v>
      </c>
      <c r="D126" s="24">
        <v>200</v>
      </c>
      <c r="E126" s="19">
        <f>18864.2-65.7</f>
        <v>18798.5</v>
      </c>
      <c r="F126" s="19">
        <f>18864.2-65.7</f>
        <v>18798.5</v>
      </c>
      <c r="G126" s="19">
        <f>18864.2-65.7</f>
        <v>18798.5</v>
      </c>
    </row>
    <row r="127" spans="1:7" outlineLevel="1" x14ac:dyDescent="0.25">
      <c r="A127" s="40" t="s">
        <v>292</v>
      </c>
      <c r="B127" s="23" t="s">
        <v>293</v>
      </c>
      <c r="C127" s="37"/>
      <c r="D127" s="3"/>
      <c r="E127" s="1">
        <f>E128</f>
        <v>122267.8</v>
      </c>
      <c r="F127" s="1">
        <f t="shared" ref="F127:G129" si="37">F128</f>
        <v>66734.5</v>
      </c>
      <c r="G127" s="1">
        <f t="shared" si="37"/>
        <v>69403.900000000009</v>
      </c>
    </row>
    <row r="128" spans="1:7" ht="31.5" outlineLevel="2" x14ac:dyDescent="0.25">
      <c r="A128" s="41" t="s">
        <v>294</v>
      </c>
      <c r="B128" s="23" t="s">
        <v>293</v>
      </c>
      <c r="C128" s="23" t="s">
        <v>295</v>
      </c>
      <c r="D128" s="24"/>
      <c r="E128" s="42">
        <f>E129</f>
        <v>122267.8</v>
      </c>
      <c r="F128" s="42">
        <f t="shared" si="37"/>
        <v>66734.5</v>
      </c>
      <c r="G128" s="42">
        <f t="shared" si="37"/>
        <v>69403.900000000009</v>
      </c>
    </row>
    <row r="129" spans="1:7" outlineLevel="2" x14ac:dyDescent="0.25">
      <c r="A129" s="33" t="s">
        <v>145</v>
      </c>
      <c r="B129" s="30" t="s">
        <v>293</v>
      </c>
      <c r="C129" s="30" t="s">
        <v>296</v>
      </c>
      <c r="D129" s="24"/>
      <c r="E129" s="42">
        <f>E130</f>
        <v>122267.8</v>
      </c>
      <c r="F129" s="42">
        <f t="shared" si="37"/>
        <v>66734.5</v>
      </c>
      <c r="G129" s="42">
        <f t="shared" si="37"/>
        <v>69403.900000000009</v>
      </c>
    </row>
    <row r="130" spans="1:7" ht="78.75" outlineLevel="2" x14ac:dyDescent="0.25">
      <c r="A130" s="41" t="s">
        <v>497</v>
      </c>
      <c r="B130" s="23" t="s">
        <v>293</v>
      </c>
      <c r="C130" s="23" t="s">
        <v>297</v>
      </c>
      <c r="D130" s="24"/>
      <c r="E130" s="42">
        <f>E131+E133+E135+E137</f>
        <v>122267.8</v>
      </c>
      <c r="F130" s="42">
        <f t="shared" ref="F130:G130" si="38">F131+F133+F135+F137</f>
        <v>66734.5</v>
      </c>
      <c r="G130" s="42">
        <f t="shared" si="38"/>
        <v>69403.900000000009</v>
      </c>
    </row>
    <row r="131" spans="1:7" ht="78.75" outlineLevel="2" x14ac:dyDescent="0.25">
      <c r="A131" s="35" t="s">
        <v>298</v>
      </c>
      <c r="B131" s="23" t="s">
        <v>293</v>
      </c>
      <c r="C131" s="23" t="s">
        <v>299</v>
      </c>
      <c r="D131" s="24"/>
      <c r="E131" s="42">
        <f>E132</f>
        <v>0.1</v>
      </c>
      <c r="F131" s="42">
        <f t="shared" ref="F131:G131" si="39">F132</f>
        <v>0.1</v>
      </c>
      <c r="G131" s="42">
        <f t="shared" si="39"/>
        <v>0.1</v>
      </c>
    </row>
    <row r="132" spans="1:7" ht="31.5" outlineLevel="2" x14ac:dyDescent="0.25">
      <c r="A132" s="35" t="s">
        <v>76</v>
      </c>
      <c r="B132" s="23" t="s">
        <v>293</v>
      </c>
      <c r="C132" s="23" t="s">
        <v>299</v>
      </c>
      <c r="D132" s="24">
        <v>200</v>
      </c>
      <c r="E132" s="42">
        <v>0.1</v>
      </c>
      <c r="F132" s="1">
        <v>0.1</v>
      </c>
      <c r="G132" s="1">
        <v>0.1</v>
      </c>
    </row>
    <row r="133" spans="1:7" ht="63" outlineLevel="2" x14ac:dyDescent="0.25">
      <c r="A133" s="41" t="s">
        <v>300</v>
      </c>
      <c r="B133" s="23" t="s">
        <v>293</v>
      </c>
      <c r="C133" s="23" t="s">
        <v>301</v>
      </c>
      <c r="D133" s="24"/>
      <c r="E133" s="42">
        <f>E134</f>
        <v>63502.3</v>
      </c>
      <c r="F133" s="42">
        <f t="shared" ref="F133:G133" si="40">F134</f>
        <v>66042.399999999994</v>
      </c>
      <c r="G133" s="42">
        <f t="shared" si="40"/>
        <v>68684.100000000006</v>
      </c>
    </row>
    <row r="134" spans="1:7" outlineLevel="2" x14ac:dyDescent="0.25">
      <c r="A134" s="43" t="s">
        <v>33</v>
      </c>
      <c r="B134" s="23" t="s">
        <v>293</v>
      </c>
      <c r="C134" s="23" t="s">
        <v>301</v>
      </c>
      <c r="D134" s="24">
        <v>800</v>
      </c>
      <c r="E134" s="42">
        <v>63502.3</v>
      </c>
      <c r="F134" s="1">
        <v>66042.399999999994</v>
      </c>
      <c r="G134" s="1">
        <v>68684.100000000006</v>
      </c>
    </row>
    <row r="135" spans="1:7" ht="126" outlineLevel="2" x14ac:dyDescent="0.25">
      <c r="A135" s="43" t="s">
        <v>302</v>
      </c>
      <c r="B135" s="23" t="s">
        <v>293</v>
      </c>
      <c r="C135" s="23" t="s">
        <v>303</v>
      </c>
      <c r="D135" s="24"/>
      <c r="E135" s="42">
        <f>E136</f>
        <v>665.4</v>
      </c>
      <c r="F135" s="42">
        <f t="shared" ref="F135:G135" si="41">F136</f>
        <v>692</v>
      </c>
      <c r="G135" s="42">
        <f t="shared" si="41"/>
        <v>719.7</v>
      </c>
    </row>
    <row r="136" spans="1:7" outlineLevel="2" x14ac:dyDescent="0.25">
      <c r="A136" s="43" t="s">
        <v>33</v>
      </c>
      <c r="B136" s="23" t="s">
        <v>293</v>
      </c>
      <c r="C136" s="23" t="s">
        <v>303</v>
      </c>
      <c r="D136" s="24">
        <v>800</v>
      </c>
      <c r="E136" s="42">
        <v>665.4</v>
      </c>
      <c r="F136" s="1">
        <v>692</v>
      </c>
      <c r="G136" s="1">
        <v>719.7</v>
      </c>
    </row>
    <row r="137" spans="1:7" ht="110.25" outlineLevel="2" x14ac:dyDescent="0.25">
      <c r="A137" s="31" t="s">
        <v>611</v>
      </c>
      <c r="B137" s="18" t="s">
        <v>293</v>
      </c>
      <c r="C137" s="18" t="s">
        <v>612</v>
      </c>
      <c r="D137" s="18"/>
      <c r="E137" s="42">
        <f>E138</f>
        <v>58100</v>
      </c>
      <c r="F137" s="42">
        <f t="shared" ref="F137:G137" si="42">F138</f>
        <v>0</v>
      </c>
      <c r="G137" s="42">
        <f t="shared" si="42"/>
        <v>0</v>
      </c>
    </row>
    <row r="138" spans="1:7" outlineLevel="2" x14ac:dyDescent="0.25">
      <c r="A138" s="31" t="s">
        <v>33</v>
      </c>
      <c r="B138" s="18" t="s">
        <v>293</v>
      </c>
      <c r="C138" s="18" t="s">
        <v>612</v>
      </c>
      <c r="D138" s="18">
        <v>800</v>
      </c>
      <c r="E138" s="42">
        <v>58100</v>
      </c>
      <c r="F138" s="1">
        <v>0</v>
      </c>
      <c r="G138" s="1">
        <v>0</v>
      </c>
    </row>
    <row r="139" spans="1:7" outlineLevel="1" x14ac:dyDescent="0.25">
      <c r="A139" s="41" t="s">
        <v>304</v>
      </c>
      <c r="B139" s="23" t="s">
        <v>305</v>
      </c>
      <c r="C139" s="23"/>
      <c r="D139" s="24"/>
      <c r="E139" s="42">
        <f>E140</f>
        <v>1345184.4</v>
      </c>
      <c r="F139" s="42">
        <f t="shared" ref="F139:G139" si="43">F140</f>
        <v>1001883.7</v>
      </c>
      <c r="G139" s="42">
        <f t="shared" si="43"/>
        <v>460736.19999999995</v>
      </c>
    </row>
    <row r="140" spans="1:7" ht="31.5" outlineLevel="2" x14ac:dyDescent="0.25">
      <c r="A140" s="41" t="s">
        <v>294</v>
      </c>
      <c r="B140" s="23" t="s">
        <v>305</v>
      </c>
      <c r="C140" s="23" t="s">
        <v>295</v>
      </c>
      <c r="D140" s="24"/>
      <c r="E140" s="42">
        <f>E141+E147+E172</f>
        <v>1345184.4</v>
      </c>
      <c r="F140" s="42">
        <f>F141+F147+F172</f>
        <v>1001883.7</v>
      </c>
      <c r="G140" s="42">
        <f>G141+G147+G172</f>
        <v>460736.19999999995</v>
      </c>
    </row>
    <row r="141" spans="1:7" outlineLevel="2" x14ac:dyDescent="0.25">
      <c r="A141" s="41" t="s">
        <v>229</v>
      </c>
      <c r="B141" s="23" t="s">
        <v>305</v>
      </c>
      <c r="C141" s="23" t="s">
        <v>306</v>
      </c>
      <c r="D141" s="24"/>
      <c r="E141" s="42">
        <f>+E142</f>
        <v>705436.8</v>
      </c>
      <c r="F141" s="42">
        <f t="shared" ref="F141:G141" si="44">+F142</f>
        <v>505371.6</v>
      </c>
      <c r="G141" s="42">
        <f t="shared" si="44"/>
        <v>0</v>
      </c>
    </row>
    <row r="142" spans="1:7" ht="31.5" outlineLevel="2" x14ac:dyDescent="0.25">
      <c r="A142" s="39" t="s">
        <v>579</v>
      </c>
      <c r="B142" s="18" t="s">
        <v>305</v>
      </c>
      <c r="C142" s="18" t="s">
        <v>581</v>
      </c>
      <c r="D142" s="18"/>
      <c r="E142" s="42">
        <f>E143+E145</f>
        <v>705436.8</v>
      </c>
      <c r="F142" s="42">
        <f t="shared" ref="F142:G142" si="45">F143+F145</f>
        <v>505371.6</v>
      </c>
      <c r="G142" s="42">
        <f t="shared" si="45"/>
        <v>0</v>
      </c>
    </row>
    <row r="143" spans="1:7" ht="63" outlineLevel="2" x14ac:dyDescent="0.25">
      <c r="A143" s="39" t="s">
        <v>646</v>
      </c>
      <c r="B143" s="18" t="s">
        <v>305</v>
      </c>
      <c r="C143" s="18" t="s">
        <v>582</v>
      </c>
      <c r="D143" s="18"/>
      <c r="E143" s="42">
        <f>E144</f>
        <v>5436.8</v>
      </c>
      <c r="F143" s="42">
        <f t="shared" ref="F143:G143" si="46">F144</f>
        <v>5371.6</v>
      </c>
      <c r="G143" s="42">
        <f t="shared" si="46"/>
        <v>0</v>
      </c>
    </row>
    <row r="144" spans="1:7" ht="31.5" outlineLevel="2" x14ac:dyDescent="0.25">
      <c r="A144" s="17" t="s">
        <v>76</v>
      </c>
      <c r="B144" s="18" t="s">
        <v>305</v>
      </c>
      <c r="C144" s="18" t="s">
        <v>582</v>
      </c>
      <c r="D144" s="18" t="s">
        <v>39</v>
      </c>
      <c r="E144" s="42">
        <v>5436.8</v>
      </c>
      <c r="F144" s="42">
        <v>5371.6</v>
      </c>
      <c r="G144" s="42">
        <v>0</v>
      </c>
    </row>
    <row r="145" spans="1:7" ht="47.25" outlineLevel="2" x14ac:dyDescent="0.25">
      <c r="A145" s="39" t="s">
        <v>580</v>
      </c>
      <c r="B145" s="18" t="s">
        <v>305</v>
      </c>
      <c r="C145" s="18" t="s">
        <v>647</v>
      </c>
      <c r="D145" s="18"/>
      <c r="E145" s="42">
        <f>E146</f>
        <v>700000</v>
      </c>
      <c r="F145" s="42">
        <f t="shared" ref="F145:G145" si="47">F146</f>
        <v>500000</v>
      </c>
      <c r="G145" s="42">
        <f t="shared" si="47"/>
        <v>0</v>
      </c>
    </row>
    <row r="146" spans="1:7" ht="31.5" outlineLevel="2" x14ac:dyDescent="0.25">
      <c r="A146" s="17" t="s">
        <v>76</v>
      </c>
      <c r="B146" s="18" t="s">
        <v>305</v>
      </c>
      <c r="C146" s="18" t="s">
        <v>647</v>
      </c>
      <c r="D146" s="18" t="s">
        <v>39</v>
      </c>
      <c r="E146" s="42">
        <f>700000</f>
        <v>700000</v>
      </c>
      <c r="F146" s="42">
        <v>500000</v>
      </c>
      <c r="G146" s="42">
        <v>0</v>
      </c>
    </row>
    <row r="147" spans="1:7" outlineLevel="2" x14ac:dyDescent="0.25">
      <c r="A147" s="39" t="s">
        <v>156</v>
      </c>
      <c r="B147" s="23" t="s">
        <v>305</v>
      </c>
      <c r="C147" s="23" t="s">
        <v>307</v>
      </c>
      <c r="D147" s="24"/>
      <c r="E147" s="42">
        <f>E148</f>
        <v>309580.09999999998</v>
      </c>
      <c r="F147" s="42">
        <f t="shared" ref="F147:G147" si="48">F148</f>
        <v>166344.60000000003</v>
      </c>
      <c r="G147" s="42">
        <f t="shared" si="48"/>
        <v>178252.30000000002</v>
      </c>
    </row>
    <row r="148" spans="1:7" ht="47.25" outlineLevel="2" x14ac:dyDescent="0.25">
      <c r="A148" s="39" t="s">
        <v>308</v>
      </c>
      <c r="B148" s="23" t="s">
        <v>305</v>
      </c>
      <c r="C148" s="23" t="s">
        <v>309</v>
      </c>
      <c r="D148" s="24"/>
      <c r="E148" s="42">
        <f>E149+E151+E163+E165+E168+E170+E155+E153+E160+E157</f>
        <v>309580.09999999998</v>
      </c>
      <c r="F148" s="42">
        <f t="shared" ref="F148:G148" si="49">F149+F151+F163+F165+F168+F170+F155+F153+F160+F157</f>
        <v>166344.60000000003</v>
      </c>
      <c r="G148" s="42">
        <f t="shared" si="49"/>
        <v>178252.30000000002</v>
      </c>
    </row>
    <row r="149" spans="1:7" ht="63" outlineLevel="2" x14ac:dyDescent="0.25">
      <c r="A149" s="31" t="s">
        <v>507</v>
      </c>
      <c r="B149" s="23" t="s">
        <v>305</v>
      </c>
      <c r="C149" s="23" t="s">
        <v>310</v>
      </c>
      <c r="D149" s="24"/>
      <c r="E149" s="42">
        <f>E150</f>
        <v>111.7</v>
      </c>
      <c r="F149" s="42">
        <f t="shared" ref="F149:G149" si="50">F150</f>
        <v>0</v>
      </c>
      <c r="G149" s="42">
        <f t="shared" si="50"/>
        <v>0</v>
      </c>
    </row>
    <row r="150" spans="1:7" ht="47.25" outlineLevel="2" x14ac:dyDescent="0.25">
      <c r="A150" s="43" t="s">
        <v>311</v>
      </c>
      <c r="B150" s="23" t="s">
        <v>305</v>
      </c>
      <c r="C150" s="23" t="s">
        <v>310</v>
      </c>
      <c r="D150" s="24">
        <v>400</v>
      </c>
      <c r="E150" s="42">
        <v>111.7</v>
      </c>
      <c r="F150" s="1">
        <v>0</v>
      </c>
      <c r="G150" s="1">
        <v>0</v>
      </c>
    </row>
    <row r="151" spans="1:7" ht="94.5" outlineLevel="2" x14ac:dyDescent="0.25">
      <c r="A151" s="43" t="s">
        <v>498</v>
      </c>
      <c r="B151" s="23" t="s">
        <v>305</v>
      </c>
      <c r="C151" s="23" t="s">
        <v>312</v>
      </c>
      <c r="D151" s="24"/>
      <c r="E151" s="42">
        <f>E152</f>
        <v>14631.2</v>
      </c>
      <c r="F151" s="42">
        <f t="shared" ref="F151:G151" si="51">F152</f>
        <v>0</v>
      </c>
      <c r="G151" s="42">
        <f t="shared" si="51"/>
        <v>0</v>
      </c>
    </row>
    <row r="152" spans="1:7" ht="47.25" outlineLevel="2" x14ac:dyDescent="0.25">
      <c r="A152" s="43" t="s">
        <v>311</v>
      </c>
      <c r="B152" s="23" t="s">
        <v>305</v>
      </c>
      <c r="C152" s="23" t="s">
        <v>312</v>
      </c>
      <c r="D152" s="24">
        <v>400</v>
      </c>
      <c r="E152" s="42">
        <v>14631.2</v>
      </c>
      <c r="F152" s="1">
        <v>0</v>
      </c>
      <c r="G152" s="1">
        <v>0</v>
      </c>
    </row>
    <row r="153" spans="1:7" ht="47.25" outlineLevel="2" x14ac:dyDescent="0.25">
      <c r="A153" s="31" t="s">
        <v>521</v>
      </c>
      <c r="B153" s="18" t="s">
        <v>305</v>
      </c>
      <c r="C153" s="18" t="s">
        <v>522</v>
      </c>
      <c r="D153" s="18"/>
      <c r="E153" s="42">
        <f>E154</f>
        <v>593.29999999999995</v>
      </c>
      <c r="F153" s="42">
        <f t="shared" ref="F153:G153" si="52">F154</f>
        <v>0</v>
      </c>
      <c r="G153" s="42">
        <f t="shared" si="52"/>
        <v>0</v>
      </c>
    </row>
    <row r="154" spans="1:7" ht="31.5" outlineLevel="2" x14ac:dyDescent="0.25">
      <c r="A154" s="20" t="s">
        <v>76</v>
      </c>
      <c r="B154" s="18" t="s">
        <v>305</v>
      </c>
      <c r="C154" s="18" t="s">
        <v>522</v>
      </c>
      <c r="D154" s="18" t="s">
        <v>39</v>
      </c>
      <c r="E154" s="42">
        <v>593.29999999999995</v>
      </c>
      <c r="F154" s="1">
        <v>0</v>
      </c>
      <c r="G154" s="1">
        <v>0</v>
      </c>
    </row>
    <row r="155" spans="1:7" ht="78.75" outlineLevel="2" x14ac:dyDescent="0.25">
      <c r="A155" s="44" t="s">
        <v>477</v>
      </c>
      <c r="B155" s="23" t="s">
        <v>305</v>
      </c>
      <c r="C155" s="23" t="s">
        <v>478</v>
      </c>
      <c r="D155" s="24"/>
      <c r="E155" s="42">
        <f>E156</f>
        <v>1000</v>
      </c>
      <c r="F155" s="42">
        <f>F156</f>
        <v>0</v>
      </c>
      <c r="G155" s="42">
        <f>G156</f>
        <v>0</v>
      </c>
    </row>
    <row r="156" spans="1:7" ht="31.5" outlineLevel="2" x14ac:dyDescent="0.25">
      <c r="A156" s="35" t="s">
        <v>76</v>
      </c>
      <c r="B156" s="23" t="s">
        <v>305</v>
      </c>
      <c r="C156" s="23" t="s">
        <v>478</v>
      </c>
      <c r="D156" s="24">
        <v>200</v>
      </c>
      <c r="E156" s="42">
        <v>1000</v>
      </c>
      <c r="F156" s="1">
        <v>0</v>
      </c>
      <c r="G156" s="1">
        <v>0</v>
      </c>
    </row>
    <row r="157" spans="1:7" ht="63" outlineLevel="2" x14ac:dyDescent="0.25">
      <c r="A157" s="44" t="s">
        <v>534</v>
      </c>
      <c r="B157" s="18" t="s">
        <v>305</v>
      </c>
      <c r="C157" s="18" t="s">
        <v>535</v>
      </c>
      <c r="D157" s="18"/>
      <c r="E157" s="42">
        <f>SUM(E158:E159)</f>
        <v>827</v>
      </c>
      <c r="F157" s="42">
        <f t="shared" ref="F157:G157" si="53">SUM(F158:F159)</f>
        <v>0</v>
      </c>
      <c r="G157" s="42">
        <f t="shared" si="53"/>
        <v>0</v>
      </c>
    </row>
    <row r="158" spans="1:7" ht="47.25" outlineLevel="2" x14ac:dyDescent="0.25">
      <c r="A158" s="8" t="s">
        <v>311</v>
      </c>
      <c r="B158" s="18" t="s">
        <v>305</v>
      </c>
      <c r="C158" s="18" t="s">
        <v>535</v>
      </c>
      <c r="D158" s="18" t="s">
        <v>469</v>
      </c>
      <c r="E158" s="42">
        <v>825</v>
      </c>
      <c r="F158" s="1">
        <v>0</v>
      </c>
      <c r="G158" s="1">
        <v>0</v>
      </c>
    </row>
    <row r="159" spans="1:7" outlineLevel="2" x14ac:dyDescent="0.25">
      <c r="A159" s="29" t="s">
        <v>33</v>
      </c>
      <c r="B159" s="18" t="s">
        <v>305</v>
      </c>
      <c r="C159" s="18" t="s">
        <v>535</v>
      </c>
      <c r="D159" s="18" t="s">
        <v>536</v>
      </c>
      <c r="E159" s="42">
        <v>2</v>
      </c>
      <c r="F159" s="1">
        <v>0</v>
      </c>
      <c r="G159" s="1">
        <v>0</v>
      </c>
    </row>
    <row r="160" spans="1:7" ht="47.25" outlineLevel="2" x14ac:dyDescent="0.25">
      <c r="A160" s="35" t="s">
        <v>531</v>
      </c>
      <c r="B160" s="18" t="s">
        <v>305</v>
      </c>
      <c r="C160" s="18" t="s">
        <v>532</v>
      </c>
      <c r="D160" s="18"/>
      <c r="E160" s="42">
        <f>SUM(E161:E162)</f>
        <v>87414.3</v>
      </c>
      <c r="F160" s="42">
        <f>SUM(F161:F162)</f>
        <v>0</v>
      </c>
      <c r="G160" s="42">
        <f t="shared" ref="G160" si="54">G161</f>
        <v>0</v>
      </c>
    </row>
    <row r="161" spans="1:7" ht="31.5" outlineLevel="2" x14ac:dyDescent="0.25">
      <c r="A161" s="35" t="s">
        <v>76</v>
      </c>
      <c r="B161" s="18" t="s">
        <v>305</v>
      </c>
      <c r="C161" s="18" t="s">
        <v>532</v>
      </c>
      <c r="D161" s="18" t="s">
        <v>39</v>
      </c>
      <c r="E161" s="42">
        <v>37414.300000000003</v>
      </c>
      <c r="F161" s="42">
        <v>0</v>
      </c>
      <c r="G161" s="42">
        <v>0</v>
      </c>
    </row>
    <row r="162" spans="1:7" ht="47.25" outlineLevel="2" x14ac:dyDescent="0.25">
      <c r="A162" s="35" t="s">
        <v>94</v>
      </c>
      <c r="B162" s="18" t="s">
        <v>305</v>
      </c>
      <c r="C162" s="18" t="s">
        <v>532</v>
      </c>
      <c r="D162" s="18" t="s">
        <v>95</v>
      </c>
      <c r="E162" s="42">
        <v>50000</v>
      </c>
      <c r="F162" s="42">
        <v>0</v>
      </c>
      <c r="G162" s="42">
        <v>0</v>
      </c>
    </row>
    <row r="163" spans="1:7" ht="63" outlineLevel="2" x14ac:dyDescent="0.25">
      <c r="A163" s="43" t="s">
        <v>313</v>
      </c>
      <c r="B163" s="23" t="s">
        <v>305</v>
      </c>
      <c r="C163" s="23" t="s">
        <v>314</v>
      </c>
      <c r="D163" s="24"/>
      <c r="E163" s="42">
        <f>E164</f>
        <v>31490.999999999985</v>
      </c>
      <c r="F163" s="42">
        <f t="shared" ref="F163:G163" si="55">F164</f>
        <v>74522.100000000006</v>
      </c>
      <c r="G163" s="42">
        <f t="shared" si="55"/>
        <v>0</v>
      </c>
    </row>
    <row r="164" spans="1:7" ht="47.25" outlineLevel="2" x14ac:dyDescent="0.25">
      <c r="A164" s="43" t="s">
        <v>311</v>
      </c>
      <c r="B164" s="23" t="s">
        <v>305</v>
      </c>
      <c r="C164" s="23" t="s">
        <v>314</v>
      </c>
      <c r="D164" s="24">
        <v>400</v>
      </c>
      <c r="E164" s="42">
        <f>121441.9-5397.1-84553.8</f>
        <v>31490.999999999985</v>
      </c>
      <c r="F164" s="1">
        <f>4471.3+70050.8</f>
        <v>74522.100000000006</v>
      </c>
      <c r="G164" s="1">
        <v>0</v>
      </c>
    </row>
    <row r="165" spans="1:7" ht="94.5" outlineLevel="2" x14ac:dyDescent="0.25">
      <c r="A165" s="43" t="s">
        <v>315</v>
      </c>
      <c r="B165" s="23" t="s">
        <v>305</v>
      </c>
      <c r="C165" s="23" t="s">
        <v>316</v>
      </c>
      <c r="D165" s="24"/>
      <c r="E165" s="42">
        <f>SUM(E166:E167)</f>
        <v>121493.6</v>
      </c>
      <c r="F165" s="42">
        <f t="shared" ref="F165:G165" si="56">SUM(F166:F167)</f>
        <v>88337.3</v>
      </c>
      <c r="G165" s="42">
        <f t="shared" si="56"/>
        <v>174767.1</v>
      </c>
    </row>
    <row r="166" spans="1:7" ht="31.5" outlineLevel="2" x14ac:dyDescent="0.25">
      <c r="A166" s="35" t="s">
        <v>76</v>
      </c>
      <c r="B166" s="23" t="s">
        <v>305</v>
      </c>
      <c r="C166" s="23" t="s">
        <v>316</v>
      </c>
      <c r="D166" s="24">
        <v>200</v>
      </c>
      <c r="E166" s="42">
        <f>71493.1+341.8+5354.5</f>
        <v>77189.400000000009</v>
      </c>
      <c r="F166" s="1">
        <f>162859.4-4471.3-70050.8</f>
        <v>88337.3</v>
      </c>
      <c r="G166" s="1">
        <f>162859.4+714.5+11193.2</f>
        <v>174767.1</v>
      </c>
    </row>
    <row r="167" spans="1:7" ht="47.25" outlineLevel="2" x14ac:dyDescent="0.25">
      <c r="A167" s="31" t="s">
        <v>311</v>
      </c>
      <c r="B167" s="18" t="s">
        <v>305</v>
      </c>
      <c r="C167" s="18" t="s">
        <v>316</v>
      </c>
      <c r="D167" s="18" t="s">
        <v>469</v>
      </c>
      <c r="E167" s="42">
        <f>300+2358.3+41645.9</f>
        <v>44304.200000000004</v>
      </c>
      <c r="F167" s="1">
        <v>0</v>
      </c>
      <c r="G167" s="1">
        <v>0</v>
      </c>
    </row>
    <row r="168" spans="1:7" ht="126" outlineLevel="2" x14ac:dyDescent="0.25">
      <c r="A168" s="43" t="s">
        <v>317</v>
      </c>
      <c r="B168" s="23" t="s">
        <v>305</v>
      </c>
      <c r="C168" s="23" t="s">
        <v>318</v>
      </c>
      <c r="D168" s="24"/>
      <c r="E168" s="42">
        <f>E169</f>
        <v>47138.700000000004</v>
      </c>
      <c r="F168" s="42">
        <f t="shared" ref="F168:G168" si="57">F169</f>
        <v>0</v>
      </c>
      <c r="G168" s="42">
        <f t="shared" si="57"/>
        <v>0</v>
      </c>
    </row>
    <row r="169" spans="1:7" ht="31.5" outlineLevel="2" x14ac:dyDescent="0.25">
      <c r="A169" s="35" t="s">
        <v>76</v>
      </c>
      <c r="B169" s="23" t="s">
        <v>305</v>
      </c>
      <c r="C169" s="23" t="s">
        <v>318</v>
      </c>
      <c r="D169" s="24">
        <v>200</v>
      </c>
      <c r="E169" s="42">
        <f>2188.3+2697+42253.4</f>
        <v>47138.700000000004</v>
      </c>
      <c r="F169" s="1">
        <v>0</v>
      </c>
      <c r="G169" s="1">
        <v>0</v>
      </c>
    </row>
    <row r="170" spans="1:7" ht="78.75" outlineLevel="2" x14ac:dyDescent="0.25">
      <c r="A170" s="43" t="s">
        <v>319</v>
      </c>
      <c r="B170" s="23" t="s">
        <v>305</v>
      </c>
      <c r="C170" s="23" t="s">
        <v>320</v>
      </c>
      <c r="D170" s="24"/>
      <c r="E170" s="42">
        <f>E171</f>
        <v>4879.3</v>
      </c>
      <c r="F170" s="42">
        <f t="shared" ref="F170:G170" si="58">F171</f>
        <v>3485.2</v>
      </c>
      <c r="G170" s="42">
        <f t="shared" si="58"/>
        <v>3485.2</v>
      </c>
    </row>
    <row r="171" spans="1:7" ht="31.5" outlineLevel="2" x14ac:dyDescent="0.25">
      <c r="A171" s="39" t="s">
        <v>76</v>
      </c>
      <c r="B171" s="23" t="s">
        <v>305</v>
      </c>
      <c r="C171" s="23" t="s">
        <v>320</v>
      </c>
      <c r="D171" s="24">
        <v>200</v>
      </c>
      <c r="E171" s="42">
        <f>1980.9+2898.4</f>
        <v>4879.3</v>
      </c>
      <c r="F171" s="1">
        <v>3485.2</v>
      </c>
      <c r="G171" s="1">
        <v>3485.2</v>
      </c>
    </row>
    <row r="172" spans="1:7" outlineLevel="2" x14ac:dyDescent="0.25">
      <c r="A172" s="33" t="s">
        <v>145</v>
      </c>
      <c r="B172" s="30" t="s">
        <v>305</v>
      </c>
      <c r="C172" s="30" t="s">
        <v>296</v>
      </c>
      <c r="D172" s="24"/>
      <c r="E172" s="42">
        <f>E173</f>
        <v>330167.5</v>
      </c>
      <c r="F172" s="42">
        <f t="shared" ref="F172:G172" si="59">F173</f>
        <v>330167.5</v>
      </c>
      <c r="G172" s="42">
        <f t="shared" si="59"/>
        <v>282483.89999999997</v>
      </c>
    </row>
    <row r="173" spans="1:7" ht="47.25" outlineLevel="2" x14ac:dyDescent="0.25">
      <c r="A173" s="44" t="s">
        <v>479</v>
      </c>
      <c r="B173" s="23" t="s">
        <v>305</v>
      </c>
      <c r="C173" s="23" t="s">
        <v>480</v>
      </c>
      <c r="D173" s="24"/>
      <c r="E173" s="42">
        <f>E174+E176</f>
        <v>330167.5</v>
      </c>
      <c r="F173" s="42">
        <f t="shared" ref="F173:G173" si="60">F174+F176</f>
        <v>330167.5</v>
      </c>
      <c r="G173" s="42">
        <f t="shared" si="60"/>
        <v>282483.89999999997</v>
      </c>
    </row>
    <row r="174" spans="1:7" outlineLevel="2" x14ac:dyDescent="0.25">
      <c r="A174" s="45" t="s">
        <v>481</v>
      </c>
      <c r="B174" s="23" t="s">
        <v>305</v>
      </c>
      <c r="C174" s="23" t="s">
        <v>514</v>
      </c>
      <c r="D174" s="24"/>
      <c r="E174" s="42">
        <f>E175</f>
        <v>273934.3</v>
      </c>
      <c r="F174" s="42">
        <f t="shared" ref="F174:G174" si="61">F175</f>
        <v>273934.3</v>
      </c>
      <c r="G174" s="42">
        <f t="shared" si="61"/>
        <v>226250.69999999998</v>
      </c>
    </row>
    <row r="175" spans="1:7" ht="47.25" outlineLevel="2" x14ac:dyDescent="0.25">
      <c r="A175" s="44" t="s">
        <v>94</v>
      </c>
      <c r="B175" s="23" t="s">
        <v>305</v>
      </c>
      <c r="C175" s="23" t="s">
        <v>514</v>
      </c>
      <c r="D175" s="24">
        <v>600</v>
      </c>
      <c r="E175" s="42">
        <v>273934.3</v>
      </c>
      <c r="F175" s="1">
        <v>273934.3</v>
      </c>
      <c r="G175" s="1">
        <f>273934.3-47683.6</f>
        <v>226250.69999999998</v>
      </c>
    </row>
    <row r="176" spans="1:7" ht="31.5" outlineLevel="2" x14ac:dyDescent="0.25">
      <c r="A176" s="46" t="s">
        <v>482</v>
      </c>
      <c r="B176" s="23" t="s">
        <v>305</v>
      </c>
      <c r="C176" s="23" t="s">
        <v>515</v>
      </c>
      <c r="D176" s="24"/>
      <c r="E176" s="42">
        <f>E177</f>
        <v>56233.2</v>
      </c>
      <c r="F176" s="42">
        <f t="shared" ref="F176:G176" si="62">F177</f>
        <v>56233.2</v>
      </c>
      <c r="G176" s="42">
        <f t="shared" si="62"/>
        <v>56233.2</v>
      </c>
    </row>
    <row r="177" spans="1:7" ht="47.25" outlineLevel="2" x14ac:dyDescent="0.25">
      <c r="A177" s="44" t="s">
        <v>94</v>
      </c>
      <c r="B177" s="23" t="s">
        <v>305</v>
      </c>
      <c r="C177" s="23" t="s">
        <v>515</v>
      </c>
      <c r="D177" s="24">
        <v>600</v>
      </c>
      <c r="E177" s="42">
        <v>56233.2</v>
      </c>
      <c r="F177" s="1">
        <v>56233.2</v>
      </c>
      <c r="G177" s="1">
        <v>56233.2</v>
      </c>
    </row>
    <row r="178" spans="1:7" ht="31.5" outlineLevel="1" x14ac:dyDescent="0.25">
      <c r="A178" s="40" t="s">
        <v>321</v>
      </c>
      <c r="B178" s="23" t="s">
        <v>322</v>
      </c>
      <c r="C178" s="23"/>
      <c r="D178" s="24"/>
      <c r="E178" s="42">
        <f>E179+E188</f>
        <v>38848</v>
      </c>
      <c r="F178" s="42">
        <f>F179+F188</f>
        <v>12161.3</v>
      </c>
      <c r="G178" s="42">
        <f>G179+G188</f>
        <v>12183.5</v>
      </c>
    </row>
    <row r="179" spans="1:7" ht="47.25" outlineLevel="2" x14ac:dyDescent="0.25">
      <c r="A179" s="41" t="s">
        <v>323</v>
      </c>
      <c r="B179" s="23" t="s">
        <v>322</v>
      </c>
      <c r="C179" s="23" t="s">
        <v>324</v>
      </c>
      <c r="D179" s="24"/>
      <c r="E179" s="3">
        <f t="shared" ref="E179:G180" si="63">E180</f>
        <v>7844.7999999999993</v>
      </c>
      <c r="F179" s="3">
        <f t="shared" si="63"/>
        <v>2329.8000000000002</v>
      </c>
      <c r="G179" s="3">
        <f t="shared" si="63"/>
        <v>2352</v>
      </c>
    </row>
    <row r="180" spans="1:7" outlineLevel="2" x14ac:dyDescent="0.25">
      <c r="A180" s="33" t="s">
        <v>156</v>
      </c>
      <c r="B180" s="30" t="s">
        <v>322</v>
      </c>
      <c r="C180" s="30" t="s">
        <v>325</v>
      </c>
      <c r="D180" s="24"/>
      <c r="E180" s="3">
        <f t="shared" si="63"/>
        <v>7844.7999999999993</v>
      </c>
      <c r="F180" s="3">
        <f t="shared" si="63"/>
        <v>2329.8000000000002</v>
      </c>
      <c r="G180" s="3">
        <f t="shared" si="63"/>
        <v>2352</v>
      </c>
    </row>
    <row r="181" spans="1:7" ht="47.25" outlineLevel="2" x14ac:dyDescent="0.25">
      <c r="A181" s="43" t="s">
        <v>326</v>
      </c>
      <c r="B181" s="23" t="s">
        <v>322</v>
      </c>
      <c r="C181" s="23" t="s">
        <v>327</v>
      </c>
      <c r="D181" s="24"/>
      <c r="E181" s="3">
        <f>E184+E182+E186</f>
        <v>7844.7999999999993</v>
      </c>
      <c r="F181" s="3">
        <f>F184+F182+F186</f>
        <v>2329.8000000000002</v>
      </c>
      <c r="G181" s="3">
        <f>G184+G182+G186</f>
        <v>2352</v>
      </c>
    </row>
    <row r="182" spans="1:7" ht="47.25" outlineLevel="2" x14ac:dyDescent="0.25">
      <c r="A182" s="39" t="s">
        <v>328</v>
      </c>
      <c r="B182" s="23" t="s">
        <v>322</v>
      </c>
      <c r="C182" s="23" t="s">
        <v>329</v>
      </c>
      <c r="D182" s="24"/>
      <c r="E182" s="47">
        <f>E183</f>
        <v>48</v>
      </c>
      <c r="F182" s="3">
        <f>F183</f>
        <v>49.9</v>
      </c>
      <c r="G182" s="3">
        <f>G183</f>
        <v>51.9</v>
      </c>
    </row>
    <row r="183" spans="1:7" ht="31.5" outlineLevel="2" x14ac:dyDescent="0.25">
      <c r="A183" s="39" t="s">
        <v>76</v>
      </c>
      <c r="B183" s="23" t="s">
        <v>322</v>
      </c>
      <c r="C183" s="23" t="s">
        <v>329</v>
      </c>
      <c r="D183" s="24">
        <v>200</v>
      </c>
      <c r="E183" s="47">
        <v>48</v>
      </c>
      <c r="F183" s="3">
        <v>49.9</v>
      </c>
      <c r="G183" s="3">
        <v>51.9</v>
      </c>
    </row>
    <row r="184" spans="1:7" ht="63" outlineLevel="2" x14ac:dyDescent="0.25">
      <c r="A184" s="43" t="s">
        <v>330</v>
      </c>
      <c r="B184" s="23" t="s">
        <v>322</v>
      </c>
      <c r="C184" s="23" t="s">
        <v>331</v>
      </c>
      <c r="D184" s="24"/>
      <c r="E184" s="3">
        <f>E185</f>
        <v>475.5</v>
      </c>
      <c r="F184" s="3">
        <f>F185</f>
        <v>449.20000000000005</v>
      </c>
      <c r="G184" s="3">
        <f>G185</f>
        <v>468.79999999999995</v>
      </c>
    </row>
    <row r="185" spans="1:7" ht="31.5" outlineLevel="2" x14ac:dyDescent="0.25">
      <c r="A185" s="39" t="s">
        <v>76</v>
      </c>
      <c r="B185" s="23" t="s">
        <v>322</v>
      </c>
      <c r="C185" s="23" t="s">
        <v>331</v>
      </c>
      <c r="D185" s="24">
        <v>200</v>
      </c>
      <c r="E185" s="3">
        <v>475.5</v>
      </c>
      <c r="F185" s="3">
        <f>494.6-45.4</f>
        <v>449.20000000000005</v>
      </c>
      <c r="G185" s="3">
        <f>514.3-45.5</f>
        <v>468.79999999999995</v>
      </c>
    </row>
    <row r="186" spans="1:7" ht="189" outlineLevel="2" x14ac:dyDescent="0.25">
      <c r="A186" s="33" t="s">
        <v>508</v>
      </c>
      <c r="B186" s="23" t="s">
        <v>322</v>
      </c>
      <c r="C186" s="23" t="s">
        <v>332</v>
      </c>
      <c r="D186" s="24"/>
      <c r="E186" s="3">
        <f>E187</f>
        <v>7321.2999999999993</v>
      </c>
      <c r="F186" s="3">
        <f>F187</f>
        <v>1830.7</v>
      </c>
      <c r="G186" s="3">
        <f>G187</f>
        <v>1831.3</v>
      </c>
    </row>
    <row r="187" spans="1:7" outlineLevel="2" x14ac:dyDescent="0.25">
      <c r="A187" s="48" t="s">
        <v>33</v>
      </c>
      <c r="B187" s="23" t="s">
        <v>322</v>
      </c>
      <c r="C187" s="23" t="s">
        <v>332</v>
      </c>
      <c r="D187" s="24">
        <v>800</v>
      </c>
      <c r="E187" s="3">
        <f>1074.3+374.8+5872.2</f>
        <v>7321.2999999999993</v>
      </c>
      <c r="F187" s="3">
        <f>1074.1+45.4+711.2</f>
        <v>1830.7</v>
      </c>
      <c r="G187" s="3">
        <f>1074.1+45.5+711.7</f>
        <v>1831.3</v>
      </c>
    </row>
    <row r="188" spans="1:7" ht="78.75" outlineLevel="2" x14ac:dyDescent="0.25">
      <c r="A188" s="33" t="s">
        <v>333</v>
      </c>
      <c r="B188" s="30" t="s">
        <v>322</v>
      </c>
      <c r="C188" s="30" t="s">
        <v>334</v>
      </c>
      <c r="D188" s="30"/>
      <c r="E188" s="1">
        <f>E189</f>
        <v>31003.200000000001</v>
      </c>
      <c r="F188" s="1">
        <f t="shared" ref="F188:G188" si="64">F189</f>
        <v>9831.5</v>
      </c>
      <c r="G188" s="1">
        <f t="shared" si="64"/>
        <v>9831.5</v>
      </c>
    </row>
    <row r="189" spans="1:7" outlineLevel="2" x14ac:dyDescent="0.25">
      <c r="A189" s="33" t="s">
        <v>156</v>
      </c>
      <c r="B189" s="30" t="s">
        <v>322</v>
      </c>
      <c r="C189" s="30" t="s">
        <v>335</v>
      </c>
      <c r="D189" s="30"/>
      <c r="E189" s="1">
        <f>E190+E195</f>
        <v>31003.200000000001</v>
      </c>
      <c r="F189" s="1">
        <f t="shared" ref="F189:G189" si="65">F190+F195</f>
        <v>9831.5</v>
      </c>
      <c r="G189" s="1">
        <f t="shared" si="65"/>
        <v>9831.5</v>
      </c>
    </row>
    <row r="190" spans="1:7" ht="47.25" outlineLevel="2" x14ac:dyDescent="0.25">
      <c r="A190" s="33" t="s">
        <v>336</v>
      </c>
      <c r="B190" s="30" t="s">
        <v>322</v>
      </c>
      <c r="C190" s="30" t="s">
        <v>337</v>
      </c>
      <c r="D190" s="30"/>
      <c r="E190" s="1">
        <f>E191+E193</f>
        <v>1547.2</v>
      </c>
      <c r="F190" s="1">
        <f t="shared" ref="F190:G190" si="66">F191+F193</f>
        <v>793.9</v>
      </c>
      <c r="G190" s="1">
        <f t="shared" si="66"/>
        <v>793.9</v>
      </c>
    </row>
    <row r="191" spans="1:7" outlineLevel="2" x14ac:dyDescent="0.25">
      <c r="A191" s="33" t="s">
        <v>338</v>
      </c>
      <c r="B191" s="30" t="s">
        <v>322</v>
      </c>
      <c r="C191" s="30" t="s">
        <v>339</v>
      </c>
      <c r="D191" s="30"/>
      <c r="E191" s="1">
        <v>1047.2</v>
      </c>
      <c r="F191" s="1">
        <v>793.9</v>
      </c>
      <c r="G191" s="1">
        <v>793.9</v>
      </c>
    </row>
    <row r="192" spans="1:7" ht="31.5" outlineLevel="2" x14ac:dyDescent="0.25">
      <c r="A192" s="33" t="s">
        <v>76</v>
      </c>
      <c r="B192" s="30" t="s">
        <v>322</v>
      </c>
      <c r="C192" s="30" t="s">
        <v>339</v>
      </c>
      <c r="D192" s="30">
        <v>200</v>
      </c>
      <c r="E192" s="1">
        <v>1047.2</v>
      </c>
      <c r="F192" s="1">
        <v>793.9</v>
      </c>
      <c r="G192" s="1">
        <v>793.9</v>
      </c>
    </row>
    <row r="193" spans="1:7" outlineLevel="2" x14ac:dyDescent="0.25">
      <c r="A193" s="33" t="s">
        <v>340</v>
      </c>
      <c r="B193" s="30" t="s">
        <v>322</v>
      </c>
      <c r="C193" s="30" t="s">
        <v>341</v>
      </c>
      <c r="D193" s="30"/>
      <c r="E193" s="1">
        <f>E194</f>
        <v>500</v>
      </c>
      <c r="F193" s="1">
        <f>F194</f>
        <v>0</v>
      </c>
      <c r="G193" s="1">
        <f>G194</f>
        <v>0</v>
      </c>
    </row>
    <row r="194" spans="1:7" ht="31.5" outlineLevel="2" x14ac:dyDescent="0.25">
      <c r="A194" s="33" t="s">
        <v>76</v>
      </c>
      <c r="B194" s="30" t="s">
        <v>322</v>
      </c>
      <c r="C194" s="30" t="s">
        <v>341</v>
      </c>
      <c r="D194" s="30">
        <v>200</v>
      </c>
      <c r="E194" s="1">
        <f>2097.9-1597.9</f>
        <v>500</v>
      </c>
      <c r="F194" s="1">
        <f>49148.5-49148.5</f>
        <v>0</v>
      </c>
      <c r="G194" s="1">
        <f>49148.5-49148.5</f>
        <v>0</v>
      </c>
    </row>
    <row r="195" spans="1:7" ht="47.25" outlineLevel="2" x14ac:dyDescent="0.25">
      <c r="A195" s="33" t="s">
        <v>342</v>
      </c>
      <c r="B195" s="30" t="s">
        <v>322</v>
      </c>
      <c r="C195" s="30" t="s">
        <v>343</v>
      </c>
      <c r="D195" s="30"/>
      <c r="E195" s="1">
        <f>E196+E198</f>
        <v>29456</v>
      </c>
      <c r="F195" s="1">
        <f>F196+F198</f>
        <v>9037.6</v>
      </c>
      <c r="G195" s="1">
        <f>G196+G198</f>
        <v>9037.6</v>
      </c>
    </row>
    <row r="196" spans="1:7" ht="78.75" outlineLevel="2" x14ac:dyDescent="0.25">
      <c r="A196" s="33" t="s">
        <v>344</v>
      </c>
      <c r="B196" s="30" t="s">
        <v>322</v>
      </c>
      <c r="C196" s="30" t="s">
        <v>345</v>
      </c>
      <c r="D196" s="30"/>
      <c r="E196" s="1">
        <f>E197</f>
        <v>9500</v>
      </c>
      <c r="F196" s="1">
        <f>F197</f>
        <v>1668</v>
      </c>
      <c r="G196" s="1">
        <f>G197</f>
        <v>1668</v>
      </c>
    </row>
    <row r="197" spans="1:7" ht="31.5" outlineLevel="2" x14ac:dyDescent="0.25">
      <c r="A197" s="33" t="s">
        <v>76</v>
      </c>
      <c r="B197" s="30" t="s">
        <v>322</v>
      </c>
      <c r="C197" s="30" t="s">
        <v>345</v>
      </c>
      <c r="D197" s="30">
        <v>200</v>
      </c>
      <c r="E197" s="1">
        <v>9500</v>
      </c>
      <c r="F197" s="1">
        <v>1668</v>
      </c>
      <c r="G197" s="1">
        <v>1668</v>
      </c>
    </row>
    <row r="198" spans="1:7" ht="47.25" outlineLevel="2" x14ac:dyDescent="0.25">
      <c r="A198" s="33" t="s">
        <v>346</v>
      </c>
      <c r="B198" s="30" t="s">
        <v>322</v>
      </c>
      <c r="C198" s="30" t="s">
        <v>347</v>
      </c>
      <c r="D198" s="30"/>
      <c r="E198" s="1">
        <f>E199</f>
        <v>19956</v>
      </c>
      <c r="F198" s="1">
        <f>F199</f>
        <v>7369.6</v>
      </c>
      <c r="G198" s="1">
        <f>G199</f>
        <v>7369.6</v>
      </c>
    </row>
    <row r="199" spans="1:7" ht="31.5" outlineLevel="2" x14ac:dyDescent="0.25">
      <c r="A199" s="33" t="s">
        <v>76</v>
      </c>
      <c r="B199" s="30" t="s">
        <v>322</v>
      </c>
      <c r="C199" s="30" t="s">
        <v>347</v>
      </c>
      <c r="D199" s="30">
        <v>200</v>
      </c>
      <c r="E199" s="1">
        <v>19956</v>
      </c>
      <c r="F199" s="1">
        <v>7369.6</v>
      </c>
      <c r="G199" s="1">
        <v>7369.6</v>
      </c>
    </row>
    <row r="200" spans="1:7" x14ac:dyDescent="0.25">
      <c r="A200" s="36" t="s">
        <v>348</v>
      </c>
      <c r="B200" s="37" t="s">
        <v>51</v>
      </c>
      <c r="C200" s="37"/>
      <c r="D200" s="49"/>
      <c r="E200" s="16">
        <f>E201+E221+E296+E351</f>
        <v>2713335.2399999998</v>
      </c>
      <c r="F200" s="16">
        <f>F201+F221+F296+F351</f>
        <v>3861930.6</v>
      </c>
      <c r="G200" s="16">
        <f>G201+G221+G296+G351</f>
        <v>3067279.5</v>
      </c>
    </row>
    <row r="201" spans="1:7" outlineLevel="1" x14ac:dyDescent="0.25">
      <c r="A201" s="40" t="s">
        <v>52</v>
      </c>
      <c r="B201" s="23" t="s">
        <v>53</v>
      </c>
      <c r="C201" s="23"/>
      <c r="D201" s="24"/>
      <c r="E201" s="1">
        <f>E207+E202</f>
        <v>33495.9</v>
      </c>
      <c r="F201" s="1">
        <f t="shared" ref="F201:G201" si="67">F207+F202</f>
        <v>18884.099999999999</v>
      </c>
      <c r="G201" s="1">
        <f t="shared" si="67"/>
        <v>18884.099999999999</v>
      </c>
    </row>
    <row r="202" spans="1:7" ht="47.25" outlineLevel="2" x14ac:dyDescent="0.25">
      <c r="A202" s="29" t="s">
        <v>59</v>
      </c>
      <c r="B202" s="23" t="s">
        <v>53</v>
      </c>
      <c r="C202" s="23" t="s">
        <v>60</v>
      </c>
      <c r="D202" s="24"/>
      <c r="E202" s="1">
        <f>E203</f>
        <v>1935.5</v>
      </c>
      <c r="F202" s="1">
        <f t="shared" ref="F202:G205" si="68">F203</f>
        <v>1024.8</v>
      </c>
      <c r="G202" s="1">
        <f t="shared" si="68"/>
        <v>1024.8</v>
      </c>
    </row>
    <row r="203" spans="1:7" outlineLevel="2" x14ac:dyDescent="0.25">
      <c r="A203" s="33" t="s">
        <v>145</v>
      </c>
      <c r="B203" s="30" t="s">
        <v>53</v>
      </c>
      <c r="C203" s="30" t="s">
        <v>136</v>
      </c>
      <c r="D203" s="24"/>
      <c r="E203" s="1">
        <f>E204</f>
        <v>1935.5</v>
      </c>
      <c r="F203" s="1">
        <f t="shared" si="68"/>
        <v>1024.8</v>
      </c>
      <c r="G203" s="1">
        <f t="shared" si="68"/>
        <v>1024.8</v>
      </c>
    </row>
    <row r="204" spans="1:7" ht="110.25" outlineLevel="2" x14ac:dyDescent="0.25">
      <c r="A204" s="29" t="s">
        <v>403</v>
      </c>
      <c r="B204" s="23" t="s">
        <v>53</v>
      </c>
      <c r="C204" s="23" t="s">
        <v>404</v>
      </c>
      <c r="D204" s="24"/>
      <c r="E204" s="1">
        <f>E205</f>
        <v>1935.5</v>
      </c>
      <c r="F204" s="1">
        <f t="shared" si="68"/>
        <v>1024.8</v>
      </c>
      <c r="G204" s="1">
        <f t="shared" si="68"/>
        <v>1024.8</v>
      </c>
    </row>
    <row r="205" spans="1:7" outlineLevel="2" x14ac:dyDescent="0.25">
      <c r="A205" s="29" t="s">
        <v>405</v>
      </c>
      <c r="B205" s="23" t="s">
        <v>53</v>
      </c>
      <c r="C205" s="23" t="s">
        <v>406</v>
      </c>
      <c r="D205" s="24"/>
      <c r="E205" s="1">
        <f>E206</f>
        <v>1935.5</v>
      </c>
      <c r="F205" s="1">
        <f t="shared" si="68"/>
        <v>1024.8</v>
      </c>
      <c r="G205" s="1">
        <f t="shared" si="68"/>
        <v>1024.8</v>
      </c>
    </row>
    <row r="206" spans="1:7" ht="31.5" outlineLevel="2" x14ac:dyDescent="0.25">
      <c r="A206" s="50" t="s">
        <v>76</v>
      </c>
      <c r="B206" s="23" t="s">
        <v>53</v>
      </c>
      <c r="C206" s="23" t="s">
        <v>406</v>
      </c>
      <c r="D206" s="24">
        <v>200</v>
      </c>
      <c r="E206" s="1">
        <v>1935.5</v>
      </c>
      <c r="F206" s="1">
        <v>1024.8</v>
      </c>
      <c r="G206" s="1">
        <v>1024.8</v>
      </c>
    </row>
    <row r="207" spans="1:7" ht="78.75" outlineLevel="2" x14ac:dyDescent="0.25">
      <c r="A207" s="40" t="s">
        <v>349</v>
      </c>
      <c r="B207" s="23" t="s">
        <v>53</v>
      </c>
      <c r="C207" s="23" t="s">
        <v>54</v>
      </c>
      <c r="D207" s="24"/>
      <c r="E207" s="42">
        <f>E208+E214</f>
        <v>31560.400000000001</v>
      </c>
      <c r="F207" s="42">
        <f>F208+F214</f>
        <v>17859.3</v>
      </c>
      <c r="G207" s="42">
        <f>G208+G214</f>
        <v>17859.3</v>
      </c>
    </row>
    <row r="208" spans="1:7" outlineLevel="2" x14ac:dyDescent="0.25">
      <c r="A208" s="33" t="s">
        <v>156</v>
      </c>
      <c r="B208" s="30" t="s">
        <v>53</v>
      </c>
      <c r="C208" s="30" t="s">
        <v>350</v>
      </c>
      <c r="D208" s="24"/>
      <c r="E208" s="42">
        <f>E209</f>
        <v>13701.1</v>
      </c>
      <c r="F208" s="42">
        <f>F209</f>
        <v>0</v>
      </c>
      <c r="G208" s="42">
        <f>G209</f>
        <v>0</v>
      </c>
    </row>
    <row r="209" spans="1:7" ht="31.5" outlineLevel="2" x14ac:dyDescent="0.25">
      <c r="A209" s="33" t="s">
        <v>351</v>
      </c>
      <c r="B209" s="23" t="s">
        <v>53</v>
      </c>
      <c r="C209" s="23" t="s">
        <v>352</v>
      </c>
      <c r="D209" s="24"/>
      <c r="E209" s="42">
        <f>E210+E212</f>
        <v>13701.1</v>
      </c>
      <c r="F209" s="42">
        <f t="shared" ref="F209:G209" si="69">F210+F212</f>
        <v>0</v>
      </c>
      <c r="G209" s="42">
        <f t="shared" si="69"/>
        <v>0</v>
      </c>
    </row>
    <row r="210" spans="1:7" outlineLevel="2" x14ac:dyDescent="0.25">
      <c r="A210" s="35" t="s">
        <v>353</v>
      </c>
      <c r="B210" s="23" t="s">
        <v>53</v>
      </c>
      <c r="C210" s="23" t="s">
        <v>354</v>
      </c>
      <c r="D210" s="24"/>
      <c r="E210" s="42">
        <f>E211</f>
        <v>11636.1</v>
      </c>
      <c r="F210" s="42">
        <f t="shared" ref="F210:G210" si="70">F211</f>
        <v>0</v>
      </c>
      <c r="G210" s="42">
        <f t="shared" si="70"/>
        <v>0</v>
      </c>
    </row>
    <row r="211" spans="1:7" ht="31.5" outlineLevel="2" x14ac:dyDescent="0.25">
      <c r="A211" s="33" t="s">
        <v>76</v>
      </c>
      <c r="B211" s="23" t="s">
        <v>53</v>
      </c>
      <c r="C211" s="23" t="s">
        <v>354</v>
      </c>
      <c r="D211" s="3">
        <v>200</v>
      </c>
      <c r="E211" s="1">
        <v>11636.1</v>
      </c>
      <c r="F211" s="1">
        <v>0</v>
      </c>
      <c r="G211" s="1">
        <v>0</v>
      </c>
    </row>
    <row r="212" spans="1:7" ht="47.25" outlineLevel="2" x14ac:dyDescent="0.25">
      <c r="A212" s="22" t="s">
        <v>523</v>
      </c>
      <c r="B212" s="18" t="s">
        <v>53</v>
      </c>
      <c r="C212" s="18" t="s">
        <v>524</v>
      </c>
      <c r="D212" s="18"/>
      <c r="E212" s="1">
        <f>E213</f>
        <v>2065</v>
      </c>
      <c r="F212" s="1">
        <f t="shared" ref="F212:G212" si="71">F213</f>
        <v>0</v>
      </c>
      <c r="G212" s="1">
        <f t="shared" si="71"/>
        <v>0</v>
      </c>
    </row>
    <row r="213" spans="1:7" ht="31.5" outlineLevel="2" x14ac:dyDescent="0.25">
      <c r="A213" s="22" t="s">
        <v>76</v>
      </c>
      <c r="B213" s="18" t="s">
        <v>53</v>
      </c>
      <c r="C213" s="18" t="s">
        <v>524</v>
      </c>
      <c r="D213" s="18">
        <v>200</v>
      </c>
      <c r="E213" s="1">
        <v>2065</v>
      </c>
      <c r="F213" s="1">
        <v>0</v>
      </c>
      <c r="G213" s="1">
        <v>0</v>
      </c>
    </row>
    <row r="214" spans="1:7" outlineLevel="2" x14ac:dyDescent="0.25">
      <c r="A214" s="33" t="s">
        <v>145</v>
      </c>
      <c r="B214" s="30" t="s">
        <v>53</v>
      </c>
      <c r="C214" s="30" t="s">
        <v>83</v>
      </c>
      <c r="D214" s="3"/>
      <c r="E214" s="1">
        <f>E215+E218</f>
        <v>17859.3</v>
      </c>
      <c r="F214" s="1">
        <f t="shared" ref="F214:G214" si="72">F215+F218</f>
        <v>17859.3</v>
      </c>
      <c r="G214" s="1">
        <f t="shared" si="72"/>
        <v>17859.3</v>
      </c>
    </row>
    <row r="215" spans="1:7" ht="47.25" outlineLevel="2" x14ac:dyDescent="0.25">
      <c r="A215" s="33" t="s">
        <v>385</v>
      </c>
      <c r="B215" s="30" t="s">
        <v>53</v>
      </c>
      <c r="C215" s="30" t="s">
        <v>386</v>
      </c>
      <c r="D215" s="3"/>
      <c r="E215" s="1">
        <f>E216</f>
        <v>4359.3</v>
      </c>
      <c r="F215" s="1">
        <f t="shared" ref="F215:G216" si="73">F216</f>
        <v>4359.3</v>
      </c>
      <c r="G215" s="1">
        <f t="shared" si="73"/>
        <v>4359.3</v>
      </c>
    </row>
    <row r="216" spans="1:7" ht="78.75" outlineLevel="2" x14ac:dyDescent="0.25">
      <c r="A216" s="33" t="s">
        <v>387</v>
      </c>
      <c r="B216" s="30" t="s">
        <v>53</v>
      </c>
      <c r="C216" s="30" t="s">
        <v>388</v>
      </c>
      <c r="D216" s="3"/>
      <c r="E216" s="1">
        <f>E217</f>
        <v>4359.3</v>
      </c>
      <c r="F216" s="1">
        <f t="shared" si="73"/>
        <v>4359.3</v>
      </c>
      <c r="G216" s="1">
        <f t="shared" si="73"/>
        <v>4359.3</v>
      </c>
    </row>
    <row r="217" spans="1:7" outlineLevel="2" x14ac:dyDescent="0.25">
      <c r="A217" s="50" t="s">
        <v>33</v>
      </c>
      <c r="B217" s="23" t="s">
        <v>53</v>
      </c>
      <c r="C217" s="3" t="s">
        <v>388</v>
      </c>
      <c r="D217" s="24">
        <v>800</v>
      </c>
      <c r="E217" s="1">
        <v>4359.3</v>
      </c>
      <c r="F217" s="1">
        <v>4359.3</v>
      </c>
      <c r="G217" s="1">
        <v>4359.3</v>
      </c>
    </row>
    <row r="218" spans="1:7" ht="78.75" outlineLevel="2" x14ac:dyDescent="0.25">
      <c r="A218" s="17" t="s">
        <v>516</v>
      </c>
      <c r="B218" s="30" t="s">
        <v>53</v>
      </c>
      <c r="C218" s="30" t="s">
        <v>407</v>
      </c>
      <c r="D218" s="24"/>
      <c r="E218" s="1">
        <f>E219</f>
        <v>13500</v>
      </c>
      <c r="F218" s="1">
        <f t="shared" ref="F218:G219" si="74">F219</f>
        <v>13500</v>
      </c>
      <c r="G218" s="1">
        <f t="shared" si="74"/>
        <v>13500</v>
      </c>
    </row>
    <row r="219" spans="1:7" ht="78.75" outlineLevel="2" x14ac:dyDescent="0.25">
      <c r="A219" s="50" t="s">
        <v>408</v>
      </c>
      <c r="B219" s="23" t="s">
        <v>53</v>
      </c>
      <c r="C219" s="23" t="s">
        <v>513</v>
      </c>
      <c r="D219" s="24"/>
      <c r="E219" s="1">
        <f>E220</f>
        <v>13500</v>
      </c>
      <c r="F219" s="1">
        <f t="shared" si="74"/>
        <v>13500</v>
      </c>
      <c r="G219" s="1">
        <f t="shared" si="74"/>
        <v>13500</v>
      </c>
    </row>
    <row r="220" spans="1:7" ht="31.5" outlineLevel="2" x14ac:dyDescent="0.25">
      <c r="A220" s="50" t="s">
        <v>76</v>
      </c>
      <c r="B220" s="23" t="s">
        <v>53</v>
      </c>
      <c r="C220" s="23" t="s">
        <v>513</v>
      </c>
      <c r="D220" s="24">
        <v>200</v>
      </c>
      <c r="E220" s="1">
        <v>13500</v>
      </c>
      <c r="F220" s="1">
        <v>13500</v>
      </c>
      <c r="G220" s="1">
        <v>13500</v>
      </c>
    </row>
    <row r="221" spans="1:7" outlineLevel="1" x14ac:dyDescent="0.25">
      <c r="A221" s="40" t="s">
        <v>55</v>
      </c>
      <c r="B221" s="23" t="s">
        <v>56</v>
      </c>
      <c r="C221" s="23"/>
      <c r="D221" s="3"/>
      <c r="E221" s="1">
        <f>E222</f>
        <v>1242319.54</v>
      </c>
      <c r="F221" s="1">
        <f t="shared" ref="F221:G221" si="75">F222</f>
        <v>2983279.4000000004</v>
      </c>
      <c r="G221" s="1">
        <f t="shared" si="75"/>
        <v>2186360</v>
      </c>
    </row>
    <row r="222" spans="1:7" ht="78.75" outlineLevel="2" x14ac:dyDescent="0.25">
      <c r="A222" s="40" t="s">
        <v>349</v>
      </c>
      <c r="B222" s="23" t="s">
        <v>56</v>
      </c>
      <c r="C222" s="23" t="s">
        <v>54</v>
      </c>
      <c r="D222" s="3"/>
      <c r="E222" s="1">
        <f>E227+E280+E223</f>
        <v>1242319.54</v>
      </c>
      <c r="F222" s="1">
        <f t="shared" ref="F222:G222" si="76">F227+F280+F223</f>
        <v>2983279.4000000004</v>
      </c>
      <c r="G222" s="1">
        <f t="shared" si="76"/>
        <v>2186360</v>
      </c>
    </row>
    <row r="223" spans="1:7" outlineLevel="2" x14ac:dyDescent="0.25">
      <c r="A223" s="22" t="s">
        <v>229</v>
      </c>
      <c r="B223" s="18" t="s">
        <v>56</v>
      </c>
      <c r="C223" s="18" t="s">
        <v>615</v>
      </c>
      <c r="D223" s="18"/>
      <c r="E223" s="1">
        <f>E224</f>
        <v>399741.2</v>
      </c>
      <c r="F223" s="1">
        <f t="shared" ref="F223:G225" si="77">F224</f>
        <v>434566</v>
      </c>
      <c r="G223" s="1">
        <f t="shared" si="77"/>
        <v>540837.30000000005</v>
      </c>
    </row>
    <row r="224" spans="1:7" ht="47.25" outlineLevel="2" x14ac:dyDescent="0.25">
      <c r="A224" s="22" t="s">
        <v>613</v>
      </c>
      <c r="B224" s="18" t="s">
        <v>56</v>
      </c>
      <c r="C224" s="18" t="s">
        <v>616</v>
      </c>
      <c r="D224" s="18"/>
      <c r="E224" s="1">
        <f t="shared" ref="E224:E225" si="78">E225</f>
        <v>399741.2</v>
      </c>
      <c r="F224" s="1">
        <f t="shared" si="77"/>
        <v>434566</v>
      </c>
      <c r="G224" s="1">
        <f t="shared" si="77"/>
        <v>540837.30000000005</v>
      </c>
    </row>
    <row r="225" spans="1:7" ht="31.5" outlineLevel="2" x14ac:dyDescent="0.25">
      <c r="A225" s="22" t="s">
        <v>614</v>
      </c>
      <c r="B225" s="18" t="s">
        <v>56</v>
      </c>
      <c r="C225" s="18" t="s">
        <v>617</v>
      </c>
      <c r="D225" s="18"/>
      <c r="E225" s="1">
        <f t="shared" si="78"/>
        <v>399741.2</v>
      </c>
      <c r="F225" s="1">
        <f t="shared" si="77"/>
        <v>434566</v>
      </c>
      <c r="G225" s="1">
        <f t="shared" si="77"/>
        <v>540837.30000000005</v>
      </c>
    </row>
    <row r="226" spans="1:7" ht="47.25" outlineLevel="2" x14ac:dyDescent="0.25">
      <c r="A226" s="22" t="s">
        <v>311</v>
      </c>
      <c r="B226" s="18" t="s">
        <v>56</v>
      </c>
      <c r="C226" s="18" t="s">
        <v>617</v>
      </c>
      <c r="D226" s="18" t="s">
        <v>469</v>
      </c>
      <c r="E226" s="1">
        <f>395743.8+3997.4</f>
        <v>399741.2</v>
      </c>
      <c r="F226" s="1">
        <f>4345.7+430220.3</f>
        <v>434566</v>
      </c>
      <c r="G226" s="1">
        <f>5408.4+535428.9</f>
        <v>540837.30000000005</v>
      </c>
    </row>
    <row r="227" spans="1:7" outlineLevel="2" x14ac:dyDescent="0.25">
      <c r="A227" s="33" t="s">
        <v>156</v>
      </c>
      <c r="B227" s="30" t="s">
        <v>56</v>
      </c>
      <c r="C227" s="30" t="s">
        <v>350</v>
      </c>
      <c r="D227" s="3"/>
      <c r="E227" s="1">
        <f>E228+E277</f>
        <v>397070.24</v>
      </c>
      <c r="F227" s="1">
        <f>F228</f>
        <v>2076901.1</v>
      </c>
      <c r="G227" s="1">
        <f>G228</f>
        <v>1152033.2000000002</v>
      </c>
    </row>
    <row r="228" spans="1:7" ht="47.25" outlineLevel="2" x14ac:dyDescent="0.25">
      <c r="A228" s="33" t="s">
        <v>648</v>
      </c>
      <c r="B228" s="23" t="s">
        <v>56</v>
      </c>
      <c r="C228" s="23" t="s">
        <v>355</v>
      </c>
      <c r="D228" s="3"/>
      <c r="E228" s="1">
        <f>E229+E231+E233+E235+E241+E243+E245+E247+E249+E237+E239+E251+E253+E255+E257+E259+E261+E263+E265+E267+E269+E271+E273+E275</f>
        <v>388974.14</v>
      </c>
      <c r="F228" s="1">
        <f t="shared" ref="F228:G228" si="79">F229+F231+F233+F235+F241+F243+F245+F247+F249+F237+F239+F251+F253+F255+F257+F259+F261</f>
        <v>2076901.1</v>
      </c>
      <c r="G228" s="1">
        <f t="shared" si="79"/>
        <v>1152033.2000000002</v>
      </c>
    </row>
    <row r="229" spans="1:7" ht="47.25" outlineLevel="2" x14ac:dyDescent="0.25">
      <c r="A229" s="51" t="s">
        <v>356</v>
      </c>
      <c r="B229" s="23" t="s">
        <v>56</v>
      </c>
      <c r="C229" s="23" t="s">
        <v>357</v>
      </c>
      <c r="D229" s="3"/>
      <c r="E229" s="1">
        <f>E230</f>
        <v>12386.9</v>
      </c>
      <c r="F229" s="1">
        <f t="shared" ref="F229:G229" si="80">F230</f>
        <v>0</v>
      </c>
      <c r="G229" s="1">
        <f t="shared" si="80"/>
        <v>0</v>
      </c>
    </row>
    <row r="230" spans="1:7" ht="47.25" outlineLevel="2" x14ac:dyDescent="0.25">
      <c r="A230" s="51" t="s">
        <v>311</v>
      </c>
      <c r="B230" s="23" t="s">
        <v>56</v>
      </c>
      <c r="C230" s="23" t="s">
        <v>357</v>
      </c>
      <c r="D230" s="3">
        <v>400</v>
      </c>
      <c r="E230" s="1">
        <v>12386.9</v>
      </c>
      <c r="F230" s="1">
        <v>0</v>
      </c>
      <c r="G230" s="1">
        <v>0</v>
      </c>
    </row>
    <row r="231" spans="1:7" ht="94.5" outlineLevel="2" x14ac:dyDescent="0.25">
      <c r="A231" s="51" t="s">
        <v>499</v>
      </c>
      <c r="B231" s="23" t="s">
        <v>56</v>
      </c>
      <c r="C231" s="23" t="s">
        <v>358</v>
      </c>
      <c r="D231" s="3"/>
      <c r="E231" s="1">
        <f>E232</f>
        <v>8067.5</v>
      </c>
      <c r="F231" s="1">
        <f t="shared" ref="F231:G231" si="81">F232</f>
        <v>0</v>
      </c>
      <c r="G231" s="1">
        <f t="shared" si="81"/>
        <v>0</v>
      </c>
    </row>
    <row r="232" spans="1:7" ht="47.25" outlineLevel="2" x14ac:dyDescent="0.25">
      <c r="A232" s="51" t="s">
        <v>311</v>
      </c>
      <c r="B232" s="23" t="s">
        <v>56</v>
      </c>
      <c r="C232" s="23" t="s">
        <v>358</v>
      </c>
      <c r="D232" s="3">
        <v>400</v>
      </c>
      <c r="E232" s="1">
        <v>8067.5</v>
      </c>
      <c r="F232" s="1">
        <v>0</v>
      </c>
      <c r="G232" s="1">
        <v>0</v>
      </c>
    </row>
    <row r="233" spans="1:7" ht="31.5" outlineLevel="2" x14ac:dyDescent="0.25">
      <c r="A233" s="51" t="s">
        <v>359</v>
      </c>
      <c r="B233" s="23" t="s">
        <v>56</v>
      </c>
      <c r="C233" s="23" t="s">
        <v>360</v>
      </c>
      <c r="D233" s="3"/>
      <c r="E233" s="1">
        <f>E234</f>
        <v>14587.8</v>
      </c>
      <c r="F233" s="1">
        <f t="shared" ref="F233:G233" si="82">F234</f>
        <v>0</v>
      </c>
      <c r="G233" s="1">
        <f t="shared" si="82"/>
        <v>0</v>
      </c>
    </row>
    <row r="234" spans="1:7" ht="31.5" outlineLevel="2" x14ac:dyDescent="0.25">
      <c r="A234" s="33" t="s">
        <v>76</v>
      </c>
      <c r="B234" s="23" t="s">
        <v>56</v>
      </c>
      <c r="C234" s="23" t="s">
        <v>360</v>
      </c>
      <c r="D234" s="3">
        <v>200</v>
      </c>
      <c r="E234" s="1">
        <v>14587.8</v>
      </c>
      <c r="F234" s="1">
        <v>0</v>
      </c>
      <c r="G234" s="1">
        <v>0</v>
      </c>
    </row>
    <row r="235" spans="1:7" ht="31.5" outlineLevel="2" x14ac:dyDescent="0.25">
      <c r="A235" s="51" t="s">
        <v>361</v>
      </c>
      <c r="B235" s="23" t="s">
        <v>56</v>
      </c>
      <c r="C235" s="23" t="s">
        <v>362</v>
      </c>
      <c r="D235" s="3"/>
      <c r="E235" s="1">
        <f>E236</f>
        <v>200</v>
      </c>
      <c r="F235" s="1">
        <f t="shared" ref="F235:G235" si="83">F236</f>
        <v>0</v>
      </c>
      <c r="G235" s="1">
        <f t="shared" si="83"/>
        <v>0</v>
      </c>
    </row>
    <row r="236" spans="1:7" ht="47.25" outlineLevel="2" x14ac:dyDescent="0.25">
      <c r="A236" s="51" t="s">
        <v>311</v>
      </c>
      <c r="B236" s="23" t="s">
        <v>56</v>
      </c>
      <c r="C236" s="23" t="s">
        <v>362</v>
      </c>
      <c r="D236" s="3">
        <v>400</v>
      </c>
      <c r="E236" s="1">
        <v>200</v>
      </c>
      <c r="F236" s="1">
        <v>0</v>
      </c>
      <c r="G236" s="1">
        <v>0</v>
      </c>
    </row>
    <row r="237" spans="1:7" ht="63" outlineLevel="2" x14ac:dyDescent="0.25">
      <c r="A237" s="20" t="s">
        <v>389</v>
      </c>
      <c r="B237" s="23" t="s">
        <v>56</v>
      </c>
      <c r="C237" s="23" t="s">
        <v>390</v>
      </c>
      <c r="D237" s="24"/>
      <c r="E237" s="1">
        <f>E238</f>
        <v>4285.5</v>
      </c>
      <c r="F237" s="1">
        <f>F238</f>
        <v>0</v>
      </c>
      <c r="G237" s="1">
        <f>G238</f>
        <v>0</v>
      </c>
    </row>
    <row r="238" spans="1:7" ht="31.5" outlineLevel="2" x14ac:dyDescent="0.25">
      <c r="A238" s="20" t="s">
        <v>76</v>
      </c>
      <c r="B238" s="23" t="s">
        <v>56</v>
      </c>
      <c r="C238" s="23" t="s">
        <v>390</v>
      </c>
      <c r="D238" s="24">
        <v>200</v>
      </c>
      <c r="E238" s="1">
        <v>4285.5</v>
      </c>
      <c r="F238" s="1">
        <v>0</v>
      </c>
      <c r="G238" s="1">
        <v>0</v>
      </c>
    </row>
    <row r="239" spans="1:7" ht="94.5" outlineLevel="2" x14ac:dyDescent="0.25">
      <c r="A239" s="22" t="s">
        <v>525</v>
      </c>
      <c r="B239" s="18" t="s">
        <v>56</v>
      </c>
      <c r="C239" s="18" t="s">
        <v>526</v>
      </c>
      <c r="D239" s="18"/>
      <c r="E239" s="1">
        <f>E240</f>
        <v>15755.2</v>
      </c>
      <c r="F239" s="1">
        <f t="shared" ref="F239:G239" si="84">F240</f>
        <v>0</v>
      </c>
      <c r="G239" s="1">
        <f t="shared" si="84"/>
        <v>0</v>
      </c>
    </row>
    <row r="240" spans="1:7" ht="31.5" outlineLevel="2" x14ac:dyDescent="0.25">
      <c r="A240" s="22" t="s">
        <v>76</v>
      </c>
      <c r="B240" s="18" t="s">
        <v>56</v>
      </c>
      <c r="C240" s="18" t="s">
        <v>526</v>
      </c>
      <c r="D240" s="18" t="s">
        <v>39</v>
      </c>
      <c r="E240" s="1">
        <v>15755.2</v>
      </c>
      <c r="F240" s="1">
        <v>0</v>
      </c>
      <c r="G240" s="1">
        <v>0</v>
      </c>
    </row>
    <row r="241" spans="1:7" ht="94.5" outlineLevel="2" x14ac:dyDescent="0.25">
      <c r="A241" s="51" t="s">
        <v>363</v>
      </c>
      <c r="B241" s="23" t="s">
        <v>56</v>
      </c>
      <c r="C241" s="3" t="s">
        <v>364</v>
      </c>
      <c r="D241" s="3"/>
      <c r="E241" s="1">
        <f>E242</f>
        <v>0</v>
      </c>
      <c r="F241" s="1">
        <f t="shared" ref="F241:G241" si="85">F242</f>
        <v>1720010.8</v>
      </c>
      <c r="G241" s="1">
        <f t="shared" si="85"/>
        <v>795142.9</v>
      </c>
    </row>
    <row r="242" spans="1:7" ht="47.25" outlineLevel="2" x14ac:dyDescent="0.25">
      <c r="A242" s="51" t="s">
        <v>311</v>
      </c>
      <c r="B242" s="23" t="s">
        <v>56</v>
      </c>
      <c r="C242" s="3" t="s">
        <v>364</v>
      </c>
      <c r="D242" s="24">
        <v>400</v>
      </c>
      <c r="E242" s="1">
        <v>0</v>
      </c>
      <c r="F242" s="1">
        <f>99224-54064+16748.5+1658102.3</f>
        <v>1720010.8</v>
      </c>
      <c r="G242" s="1">
        <f>7951.4+787191.5</f>
        <v>795142.9</v>
      </c>
    </row>
    <row r="243" spans="1:7" ht="31.5" outlineLevel="2" x14ac:dyDescent="0.25">
      <c r="A243" s="52" t="s">
        <v>365</v>
      </c>
      <c r="B243" s="23" t="s">
        <v>56</v>
      </c>
      <c r="C243" s="3" t="s">
        <v>366</v>
      </c>
      <c r="D243" s="3"/>
      <c r="E243" s="1">
        <f>E244</f>
        <v>76779.400000000023</v>
      </c>
      <c r="F243" s="1">
        <f t="shared" ref="F243:G243" si="86">F244</f>
        <v>356890.30000000005</v>
      </c>
      <c r="G243" s="1">
        <f t="shared" si="86"/>
        <v>356890.30000000005</v>
      </c>
    </row>
    <row r="244" spans="1:7" ht="31.5" outlineLevel="2" x14ac:dyDescent="0.25">
      <c r="A244" s="33" t="s">
        <v>76</v>
      </c>
      <c r="B244" s="23" t="s">
        <v>56</v>
      </c>
      <c r="C244" s="3" t="s">
        <v>366</v>
      </c>
      <c r="D244" s="3">
        <v>200</v>
      </c>
      <c r="E244" s="1">
        <f>231170.2-9263.5-145127.3</f>
        <v>76779.400000000023</v>
      </c>
      <c r="F244" s="1">
        <f>35818.8+19264.3+301807.2</f>
        <v>356890.30000000005</v>
      </c>
      <c r="G244" s="1">
        <f>35818.8+19264.3+301807.2</f>
        <v>356890.30000000005</v>
      </c>
    </row>
    <row r="245" spans="1:7" ht="110.25" outlineLevel="2" x14ac:dyDescent="0.25">
      <c r="A245" s="52" t="s">
        <v>487</v>
      </c>
      <c r="B245" s="23" t="s">
        <v>56</v>
      </c>
      <c r="C245" s="3" t="s">
        <v>367</v>
      </c>
      <c r="D245" s="3"/>
      <c r="E245" s="1">
        <f>E246</f>
        <v>43107.4</v>
      </c>
      <c r="F245" s="1">
        <f t="shared" ref="F245:G245" si="87">F246</f>
        <v>0</v>
      </c>
      <c r="G245" s="1">
        <f t="shared" si="87"/>
        <v>0</v>
      </c>
    </row>
    <row r="246" spans="1:7" ht="47.25" outlineLevel="2" x14ac:dyDescent="0.25">
      <c r="A246" s="51" t="s">
        <v>311</v>
      </c>
      <c r="B246" s="23" t="s">
        <v>56</v>
      </c>
      <c r="C246" s="3" t="s">
        <v>367</v>
      </c>
      <c r="D246" s="3">
        <v>400</v>
      </c>
      <c r="E246" s="1">
        <v>43107.4</v>
      </c>
      <c r="F246" s="1">
        <v>0</v>
      </c>
      <c r="G246" s="1">
        <v>0</v>
      </c>
    </row>
    <row r="247" spans="1:7" ht="63" outlineLevel="2" x14ac:dyDescent="0.25">
      <c r="A247" s="52" t="s">
        <v>368</v>
      </c>
      <c r="B247" s="23" t="s">
        <v>56</v>
      </c>
      <c r="C247" s="3" t="s">
        <v>369</v>
      </c>
      <c r="D247" s="3"/>
      <c r="E247" s="1">
        <f>E248</f>
        <v>18250</v>
      </c>
      <c r="F247" s="1">
        <f t="shared" ref="F247:G247" si="88">F248</f>
        <v>0</v>
      </c>
      <c r="G247" s="1">
        <f t="shared" si="88"/>
        <v>0</v>
      </c>
    </row>
    <row r="248" spans="1:7" ht="31.5" outlineLevel="2" x14ac:dyDescent="0.25">
      <c r="A248" s="33" t="s">
        <v>76</v>
      </c>
      <c r="B248" s="23" t="s">
        <v>56</v>
      </c>
      <c r="C248" s="3" t="s">
        <v>369</v>
      </c>
      <c r="D248" s="3">
        <v>200</v>
      </c>
      <c r="E248" s="1">
        <f>25098.5-410.9-6437.6</f>
        <v>18250</v>
      </c>
      <c r="F248" s="1">
        <v>0</v>
      </c>
      <c r="G248" s="1">
        <v>0</v>
      </c>
    </row>
    <row r="249" spans="1:7" ht="63" outlineLevel="2" x14ac:dyDescent="0.25">
      <c r="A249" s="52" t="s">
        <v>370</v>
      </c>
      <c r="B249" s="23" t="s">
        <v>56</v>
      </c>
      <c r="C249" s="3" t="s">
        <v>371</v>
      </c>
      <c r="D249" s="3"/>
      <c r="E249" s="1">
        <f>E250</f>
        <v>46214.2</v>
      </c>
      <c r="F249" s="1">
        <f t="shared" ref="F249:G249" si="89">F250</f>
        <v>0</v>
      </c>
      <c r="G249" s="1">
        <f t="shared" si="89"/>
        <v>0</v>
      </c>
    </row>
    <row r="250" spans="1:7" ht="31.5" outlineLevel="2" x14ac:dyDescent="0.25">
      <c r="A250" s="33" t="s">
        <v>76</v>
      </c>
      <c r="B250" s="23" t="s">
        <v>56</v>
      </c>
      <c r="C250" s="3" t="s">
        <v>371</v>
      </c>
      <c r="D250" s="3">
        <v>200</v>
      </c>
      <c r="E250" s="1">
        <f>34315.1+713.9+11185.2</f>
        <v>46214.2</v>
      </c>
      <c r="F250" s="1">
        <v>0</v>
      </c>
      <c r="G250" s="1">
        <v>0</v>
      </c>
    </row>
    <row r="251" spans="1:7" ht="94.5" outlineLevel="2" x14ac:dyDescent="0.25">
      <c r="A251" s="22" t="s">
        <v>583</v>
      </c>
      <c r="B251" s="18" t="s">
        <v>56</v>
      </c>
      <c r="C251" s="18" t="s">
        <v>586</v>
      </c>
      <c r="D251" s="18"/>
      <c r="E251" s="1">
        <f>E252</f>
        <v>15874.6</v>
      </c>
      <c r="F251" s="1">
        <f t="shared" ref="F251:G251" si="90">F252</f>
        <v>0</v>
      </c>
      <c r="G251" s="1">
        <f t="shared" si="90"/>
        <v>0</v>
      </c>
    </row>
    <row r="252" spans="1:7" ht="47.25" outlineLevel="2" x14ac:dyDescent="0.25">
      <c r="A252" s="22" t="s">
        <v>311</v>
      </c>
      <c r="B252" s="18" t="s">
        <v>56</v>
      </c>
      <c r="C252" s="18" t="s">
        <v>586</v>
      </c>
      <c r="D252" s="18" t="s">
        <v>469</v>
      </c>
      <c r="E252" s="1">
        <f>952.5+14922.1</f>
        <v>15874.6</v>
      </c>
      <c r="F252" s="1">
        <v>0</v>
      </c>
      <c r="G252" s="1">
        <v>0</v>
      </c>
    </row>
    <row r="253" spans="1:7" ht="63" outlineLevel="2" x14ac:dyDescent="0.25">
      <c r="A253" s="22" t="s">
        <v>584</v>
      </c>
      <c r="B253" s="18" t="s">
        <v>56</v>
      </c>
      <c r="C253" s="18" t="s">
        <v>587</v>
      </c>
      <c r="D253" s="18"/>
      <c r="E253" s="1">
        <f>E254</f>
        <v>7339</v>
      </c>
      <c r="F253" s="1">
        <f t="shared" ref="F253:G253" si="91">F254</f>
        <v>0</v>
      </c>
      <c r="G253" s="1">
        <f t="shared" si="91"/>
        <v>0</v>
      </c>
    </row>
    <row r="254" spans="1:7" ht="31.5" outlineLevel="2" x14ac:dyDescent="0.25">
      <c r="A254" s="22" t="s">
        <v>76</v>
      </c>
      <c r="B254" s="18" t="s">
        <v>56</v>
      </c>
      <c r="C254" s="18" t="s">
        <v>587</v>
      </c>
      <c r="D254" s="18" t="s">
        <v>39</v>
      </c>
      <c r="E254" s="1">
        <f>440.3+6898.7</f>
        <v>7339</v>
      </c>
      <c r="F254" s="1">
        <v>0</v>
      </c>
      <c r="G254" s="1">
        <v>0</v>
      </c>
    </row>
    <row r="255" spans="1:7" ht="63" outlineLevel="2" x14ac:dyDescent="0.25">
      <c r="A255" s="22" t="s">
        <v>585</v>
      </c>
      <c r="B255" s="18" t="s">
        <v>56</v>
      </c>
      <c r="C255" s="18" t="s">
        <v>588</v>
      </c>
      <c r="D255" s="18"/>
      <c r="E255" s="1">
        <f>E256</f>
        <v>46337.9</v>
      </c>
      <c r="F255" s="1">
        <f t="shared" ref="F255:G255" si="92">F256</f>
        <v>0</v>
      </c>
      <c r="G255" s="1">
        <f t="shared" si="92"/>
        <v>0</v>
      </c>
    </row>
    <row r="256" spans="1:7" ht="31.5" outlineLevel="2" x14ac:dyDescent="0.25">
      <c r="A256" s="22" t="s">
        <v>76</v>
      </c>
      <c r="B256" s="18" t="s">
        <v>56</v>
      </c>
      <c r="C256" s="18" t="s">
        <v>588</v>
      </c>
      <c r="D256" s="18" t="s">
        <v>39</v>
      </c>
      <c r="E256" s="1">
        <f>2780.3+43557.6</f>
        <v>46337.9</v>
      </c>
      <c r="F256" s="1">
        <v>0</v>
      </c>
      <c r="G256" s="1">
        <v>0</v>
      </c>
    </row>
    <row r="257" spans="1:7" ht="63" outlineLevel="2" x14ac:dyDescent="0.25">
      <c r="A257" s="22" t="s">
        <v>589</v>
      </c>
      <c r="B257" s="18" t="s">
        <v>56</v>
      </c>
      <c r="C257" s="18" t="s">
        <v>592</v>
      </c>
      <c r="D257" s="18"/>
      <c r="E257" s="1">
        <f>E258</f>
        <v>2845.9</v>
      </c>
      <c r="F257" s="1">
        <f t="shared" ref="F257:G257" si="93">F258</f>
        <v>0</v>
      </c>
      <c r="G257" s="1">
        <f t="shared" si="93"/>
        <v>0</v>
      </c>
    </row>
    <row r="258" spans="1:7" ht="31.5" outlineLevel="2" x14ac:dyDescent="0.25">
      <c r="A258" s="22" t="s">
        <v>76</v>
      </c>
      <c r="B258" s="18" t="s">
        <v>56</v>
      </c>
      <c r="C258" s="18" t="s">
        <v>592</v>
      </c>
      <c r="D258" s="18" t="s">
        <v>39</v>
      </c>
      <c r="E258" s="1">
        <f>170.8+2675.1</f>
        <v>2845.9</v>
      </c>
      <c r="F258" s="1">
        <v>0</v>
      </c>
      <c r="G258" s="1">
        <v>0</v>
      </c>
    </row>
    <row r="259" spans="1:7" ht="78.75" outlineLevel="2" x14ac:dyDescent="0.25">
      <c r="A259" s="22" t="s">
        <v>590</v>
      </c>
      <c r="B259" s="18" t="s">
        <v>56</v>
      </c>
      <c r="C259" s="18" t="s">
        <v>593</v>
      </c>
      <c r="D259" s="18"/>
      <c r="E259" s="1">
        <f>E260</f>
        <v>2315.6</v>
      </c>
      <c r="F259" s="1">
        <f t="shared" ref="F259:G259" si="94">F260</f>
        <v>0</v>
      </c>
      <c r="G259" s="1">
        <f t="shared" si="94"/>
        <v>0</v>
      </c>
    </row>
    <row r="260" spans="1:7" ht="31.5" outlineLevel="2" x14ac:dyDescent="0.25">
      <c r="A260" s="22" t="s">
        <v>76</v>
      </c>
      <c r="B260" s="18" t="s">
        <v>56</v>
      </c>
      <c r="C260" s="18" t="s">
        <v>593</v>
      </c>
      <c r="D260" s="18" t="s">
        <v>39</v>
      </c>
      <c r="E260" s="1">
        <f>138.9+2176.7</f>
        <v>2315.6</v>
      </c>
      <c r="F260" s="1">
        <v>0</v>
      </c>
      <c r="G260" s="1">
        <v>0</v>
      </c>
    </row>
    <row r="261" spans="1:7" ht="94.5" outlineLevel="2" x14ac:dyDescent="0.25">
      <c r="A261" s="22" t="s">
        <v>591</v>
      </c>
      <c r="B261" s="18" t="s">
        <v>56</v>
      </c>
      <c r="C261" s="18" t="s">
        <v>594</v>
      </c>
      <c r="D261" s="18"/>
      <c r="E261" s="1">
        <f>E262</f>
        <v>5166.8999999999996</v>
      </c>
      <c r="F261" s="1">
        <f t="shared" ref="F261:G261" si="95">F262</f>
        <v>0</v>
      </c>
      <c r="G261" s="1">
        <f t="shared" si="95"/>
        <v>0</v>
      </c>
    </row>
    <row r="262" spans="1:7" ht="31.5" outlineLevel="2" x14ac:dyDescent="0.25">
      <c r="A262" s="22" t="s">
        <v>76</v>
      </c>
      <c r="B262" s="18" t="s">
        <v>56</v>
      </c>
      <c r="C262" s="18" t="s">
        <v>594</v>
      </c>
      <c r="D262" s="18" t="s">
        <v>39</v>
      </c>
      <c r="E262" s="1">
        <f>310+4856.9</f>
        <v>5166.8999999999996</v>
      </c>
      <c r="F262" s="1">
        <v>0</v>
      </c>
      <c r="G262" s="1">
        <v>0</v>
      </c>
    </row>
    <row r="263" spans="1:7" ht="63" outlineLevel="2" x14ac:dyDescent="0.25">
      <c r="A263" s="22" t="s">
        <v>595</v>
      </c>
      <c r="B263" s="18" t="s">
        <v>56</v>
      </c>
      <c r="C263" s="18" t="s">
        <v>598</v>
      </c>
      <c r="D263" s="18"/>
      <c r="E263" s="1">
        <f>E264</f>
        <v>1916.9</v>
      </c>
      <c r="F263" s="1">
        <f t="shared" ref="F263:G263" si="96">F264</f>
        <v>0</v>
      </c>
      <c r="G263" s="1">
        <f t="shared" si="96"/>
        <v>0</v>
      </c>
    </row>
    <row r="264" spans="1:7" ht="31.5" outlineLevel="2" x14ac:dyDescent="0.25">
      <c r="A264" s="22" t="s">
        <v>76</v>
      </c>
      <c r="B264" s="18" t="s">
        <v>56</v>
      </c>
      <c r="C264" s="18" t="s">
        <v>598</v>
      </c>
      <c r="D264" s="18" t="s">
        <v>39</v>
      </c>
      <c r="E264" s="1">
        <f>115+1801.9</f>
        <v>1916.9</v>
      </c>
      <c r="F264" s="1">
        <v>0</v>
      </c>
      <c r="G264" s="1">
        <v>0</v>
      </c>
    </row>
    <row r="265" spans="1:7" ht="78.75" outlineLevel="2" x14ac:dyDescent="0.25">
      <c r="A265" s="22" t="s">
        <v>596</v>
      </c>
      <c r="B265" s="18" t="s">
        <v>56</v>
      </c>
      <c r="C265" s="18" t="s">
        <v>599</v>
      </c>
      <c r="D265" s="18"/>
      <c r="E265" s="1">
        <f>E266</f>
        <v>221.10000000000002</v>
      </c>
      <c r="F265" s="1">
        <f t="shared" ref="F265:G265" si="97">F266</f>
        <v>0</v>
      </c>
      <c r="G265" s="1">
        <f t="shared" si="97"/>
        <v>0</v>
      </c>
    </row>
    <row r="266" spans="1:7" ht="31.5" outlineLevel="2" x14ac:dyDescent="0.25">
      <c r="A266" s="22" t="s">
        <v>76</v>
      </c>
      <c r="B266" s="18" t="s">
        <v>56</v>
      </c>
      <c r="C266" s="18" t="s">
        <v>599</v>
      </c>
      <c r="D266" s="18" t="s">
        <v>39</v>
      </c>
      <c r="E266" s="1">
        <f>13.3+207.8</f>
        <v>221.10000000000002</v>
      </c>
      <c r="F266" s="1">
        <v>0</v>
      </c>
      <c r="G266" s="1">
        <v>0</v>
      </c>
    </row>
    <row r="267" spans="1:7" ht="78.75" outlineLevel="2" x14ac:dyDescent="0.25">
      <c r="A267" s="22" t="s">
        <v>597</v>
      </c>
      <c r="B267" s="18" t="s">
        <v>56</v>
      </c>
      <c r="C267" s="18" t="s">
        <v>600</v>
      </c>
      <c r="D267" s="18"/>
      <c r="E267" s="1">
        <f>E268</f>
        <v>303.3</v>
      </c>
      <c r="F267" s="1">
        <f t="shared" ref="F267:G267" si="98">F268</f>
        <v>0</v>
      </c>
      <c r="G267" s="1">
        <f t="shared" si="98"/>
        <v>0</v>
      </c>
    </row>
    <row r="268" spans="1:7" ht="31.5" outlineLevel="2" x14ac:dyDescent="0.25">
      <c r="A268" s="22" t="s">
        <v>76</v>
      </c>
      <c r="B268" s="18" t="s">
        <v>56</v>
      </c>
      <c r="C268" s="18" t="s">
        <v>600</v>
      </c>
      <c r="D268" s="18" t="s">
        <v>39</v>
      </c>
      <c r="E268" s="1">
        <f>18.2+285.1</f>
        <v>303.3</v>
      </c>
      <c r="F268" s="1">
        <v>0</v>
      </c>
      <c r="G268" s="1">
        <v>0</v>
      </c>
    </row>
    <row r="269" spans="1:7" ht="78.75" outlineLevel="2" x14ac:dyDescent="0.25">
      <c r="A269" s="22" t="s">
        <v>601</v>
      </c>
      <c r="B269" s="18" t="s">
        <v>56</v>
      </c>
      <c r="C269" s="18" t="s">
        <v>605</v>
      </c>
      <c r="D269" s="18"/>
      <c r="E269" s="1">
        <f>E270</f>
        <v>19761.8</v>
      </c>
      <c r="F269" s="1">
        <f t="shared" ref="F269:G269" si="99">F270</f>
        <v>0</v>
      </c>
      <c r="G269" s="1">
        <f t="shared" si="99"/>
        <v>0</v>
      </c>
    </row>
    <row r="270" spans="1:7" ht="31.5" outlineLevel="2" x14ac:dyDescent="0.25">
      <c r="A270" s="22" t="s">
        <v>76</v>
      </c>
      <c r="B270" s="18" t="s">
        <v>56</v>
      </c>
      <c r="C270" s="18" t="s">
        <v>605</v>
      </c>
      <c r="D270" s="18" t="s">
        <v>39</v>
      </c>
      <c r="E270" s="1">
        <f>1185.7+18576.1</f>
        <v>19761.8</v>
      </c>
      <c r="F270" s="1">
        <v>0</v>
      </c>
      <c r="G270" s="1">
        <v>0</v>
      </c>
    </row>
    <row r="271" spans="1:7" ht="63" outlineLevel="2" x14ac:dyDescent="0.25">
      <c r="A271" s="22" t="s">
        <v>602</v>
      </c>
      <c r="B271" s="18" t="s">
        <v>56</v>
      </c>
      <c r="C271" s="18" t="s">
        <v>606</v>
      </c>
      <c r="D271" s="18"/>
      <c r="E271" s="1">
        <f>E272</f>
        <v>37054.300000000003</v>
      </c>
      <c r="F271" s="1">
        <f t="shared" ref="F271:G271" si="100">F272</f>
        <v>0</v>
      </c>
      <c r="G271" s="1">
        <f t="shared" si="100"/>
        <v>0</v>
      </c>
    </row>
    <row r="272" spans="1:7" ht="31.5" outlineLevel="2" x14ac:dyDescent="0.25">
      <c r="A272" s="22" t="s">
        <v>76</v>
      </c>
      <c r="B272" s="18" t="s">
        <v>56</v>
      </c>
      <c r="C272" s="18" t="s">
        <v>606</v>
      </c>
      <c r="D272" s="18" t="s">
        <v>39</v>
      </c>
      <c r="E272" s="1">
        <f>2223.3+34831</f>
        <v>37054.300000000003</v>
      </c>
      <c r="F272" s="1">
        <v>0</v>
      </c>
      <c r="G272" s="1">
        <v>0</v>
      </c>
    </row>
    <row r="273" spans="1:7" ht="63" outlineLevel="2" x14ac:dyDescent="0.25">
      <c r="A273" s="22" t="s">
        <v>603</v>
      </c>
      <c r="B273" s="18" t="s">
        <v>56</v>
      </c>
      <c r="C273" s="18" t="s">
        <v>607</v>
      </c>
      <c r="D273" s="18"/>
      <c r="E273" s="1">
        <f>E274</f>
        <v>3635.7999999999997</v>
      </c>
      <c r="F273" s="1">
        <f t="shared" ref="F273:G273" si="101">F274</f>
        <v>0</v>
      </c>
      <c r="G273" s="1">
        <f t="shared" si="101"/>
        <v>0</v>
      </c>
    </row>
    <row r="274" spans="1:7" ht="31.5" outlineLevel="2" x14ac:dyDescent="0.25">
      <c r="A274" s="22" t="s">
        <v>76</v>
      </c>
      <c r="B274" s="18" t="s">
        <v>56</v>
      </c>
      <c r="C274" s="18" t="s">
        <v>607</v>
      </c>
      <c r="D274" s="18" t="s">
        <v>39</v>
      </c>
      <c r="E274" s="1">
        <f>218.2+3417.6</f>
        <v>3635.7999999999997</v>
      </c>
      <c r="F274" s="1">
        <v>0</v>
      </c>
      <c r="G274" s="1">
        <v>0</v>
      </c>
    </row>
    <row r="275" spans="1:7" ht="63" outlineLevel="2" x14ac:dyDescent="0.25">
      <c r="A275" s="22" t="s">
        <v>604</v>
      </c>
      <c r="B275" s="18" t="s">
        <v>56</v>
      </c>
      <c r="C275" s="18" t="s">
        <v>608</v>
      </c>
      <c r="D275" s="18"/>
      <c r="E275" s="1">
        <f>E276</f>
        <v>6567.14</v>
      </c>
      <c r="F275" s="1">
        <f t="shared" ref="F275:G275" si="102">F276</f>
        <v>0</v>
      </c>
      <c r="G275" s="1">
        <f t="shared" si="102"/>
        <v>0</v>
      </c>
    </row>
    <row r="276" spans="1:7" ht="31.5" outlineLevel="2" x14ac:dyDescent="0.25">
      <c r="A276" s="22" t="s">
        <v>76</v>
      </c>
      <c r="B276" s="18" t="s">
        <v>56</v>
      </c>
      <c r="C276" s="18" t="s">
        <v>608</v>
      </c>
      <c r="D276" s="18" t="s">
        <v>39</v>
      </c>
      <c r="E276" s="1">
        <f>394+6173.14</f>
        <v>6567.14</v>
      </c>
      <c r="F276" s="1">
        <v>0</v>
      </c>
      <c r="G276" s="1">
        <v>0</v>
      </c>
    </row>
    <row r="277" spans="1:7" ht="47.25" outlineLevel="2" x14ac:dyDescent="0.25">
      <c r="A277" s="40" t="s">
        <v>561</v>
      </c>
      <c r="B277" s="18" t="s">
        <v>56</v>
      </c>
      <c r="C277" s="18" t="s">
        <v>562</v>
      </c>
      <c r="D277" s="18"/>
      <c r="E277" s="1">
        <f>E278</f>
        <v>8096.1</v>
      </c>
      <c r="F277" s="1">
        <f t="shared" ref="F277:G278" si="103">F278</f>
        <v>0</v>
      </c>
      <c r="G277" s="1">
        <f t="shared" si="103"/>
        <v>0</v>
      </c>
    </row>
    <row r="278" spans="1:7" ht="31.5" outlineLevel="2" x14ac:dyDescent="0.25">
      <c r="A278" s="50" t="s">
        <v>402</v>
      </c>
      <c r="B278" s="18" t="s">
        <v>56</v>
      </c>
      <c r="C278" s="18" t="s">
        <v>563</v>
      </c>
      <c r="D278" s="18"/>
      <c r="E278" s="1">
        <f>E279</f>
        <v>8096.1</v>
      </c>
      <c r="F278" s="1">
        <f t="shared" si="103"/>
        <v>0</v>
      </c>
      <c r="G278" s="1">
        <f t="shared" si="103"/>
        <v>0</v>
      </c>
    </row>
    <row r="279" spans="1:7" outlineLevel="2" x14ac:dyDescent="0.25">
      <c r="A279" s="50" t="s">
        <v>33</v>
      </c>
      <c r="B279" s="18" t="s">
        <v>56</v>
      </c>
      <c r="C279" s="18" t="s">
        <v>563</v>
      </c>
      <c r="D279" s="18" t="s">
        <v>536</v>
      </c>
      <c r="E279" s="1">
        <f>485.8+7610.3</f>
        <v>8096.1</v>
      </c>
      <c r="F279" s="1">
        <v>0</v>
      </c>
      <c r="G279" s="1">
        <v>0</v>
      </c>
    </row>
    <row r="280" spans="1:7" outlineLevel="2" x14ac:dyDescent="0.25">
      <c r="A280" s="33" t="s">
        <v>145</v>
      </c>
      <c r="B280" s="30" t="s">
        <v>56</v>
      </c>
      <c r="C280" s="30" t="s">
        <v>83</v>
      </c>
      <c r="D280" s="24"/>
      <c r="E280" s="1">
        <f>E281+E291</f>
        <v>445508.1</v>
      </c>
      <c r="F280" s="1">
        <f>F281+F291</f>
        <v>471812.30000000005</v>
      </c>
      <c r="G280" s="1">
        <f>G281+G291</f>
        <v>493489.5</v>
      </c>
    </row>
    <row r="281" spans="1:7" ht="63" outlineLevel="2" x14ac:dyDescent="0.25">
      <c r="A281" s="33" t="s">
        <v>391</v>
      </c>
      <c r="B281" s="30" t="s">
        <v>56</v>
      </c>
      <c r="C281" s="30" t="s">
        <v>392</v>
      </c>
      <c r="D281" s="24"/>
      <c r="E281" s="1">
        <f>E2805+E287+E289+E284+E282</f>
        <v>429105</v>
      </c>
      <c r="F281" s="1">
        <f>F2805+F287+F289+F284+F282</f>
        <v>454753.4</v>
      </c>
      <c r="G281" s="1">
        <f>G2805+G287+G289+G284+G282</f>
        <v>475748.6</v>
      </c>
    </row>
    <row r="282" spans="1:7" ht="63" outlineLevel="2" x14ac:dyDescent="0.25">
      <c r="A282" s="50" t="s">
        <v>393</v>
      </c>
      <c r="B282" s="23" t="s">
        <v>56</v>
      </c>
      <c r="C282" s="23" t="s">
        <v>394</v>
      </c>
      <c r="D282" s="24"/>
      <c r="E282" s="1">
        <f>E283</f>
        <v>1322</v>
      </c>
      <c r="F282" s="1">
        <f t="shared" ref="F282:G282" si="104">F283</f>
        <v>0</v>
      </c>
      <c r="G282" s="1">
        <f t="shared" si="104"/>
        <v>0</v>
      </c>
    </row>
    <row r="283" spans="1:7" ht="31.5" outlineLevel="2" x14ac:dyDescent="0.25">
      <c r="A283" s="29" t="s">
        <v>76</v>
      </c>
      <c r="B283" s="23" t="s">
        <v>56</v>
      </c>
      <c r="C283" s="23" t="s">
        <v>394</v>
      </c>
      <c r="D283" s="24">
        <v>200</v>
      </c>
      <c r="E283" s="1">
        <v>1322</v>
      </c>
      <c r="F283" s="1">
        <v>0</v>
      </c>
      <c r="G283" s="1">
        <v>0</v>
      </c>
    </row>
    <row r="284" spans="1:7" ht="110.25" outlineLevel="2" x14ac:dyDescent="0.25">
      <c r="A284" s="50" t="s">
        <v>397</v>
      </c>
      <c r="B284" s="18" t="s">
        <v>56</v>
      </c>
      <c r="C284" s="18" t="s">
        <v>622</v>
      </c>
      <c r="D284" s="18"/>
      <c r="E284" s="1">
        <f>SUM(E285:E286)</f>
        <v>231052.6</v>
      </c>
      <c r="F284" s="1">
        <f t="shared" ref="F284:G284" si="105">SUM(F285:F286)</f>
        <v>246313.9</v>
      </c>
      <c r="G284" s="1">
        <f t="shared" si="105"/>
        <v>255918.4</v>
      </c>
    </row>
    <row r="285" spans="1:7" ht="31.5" outlineLevel="2" x14ac:dyDescent="0.25">
      <c r="A285" s="40" t="s">
        <v>76</v>
      </c>
      <c r="B285" s="18" t="s">
        <v>56</v>
      </c>
      <c r="C285" s="18" t="s">
        <v>622</v>
      </c>
      <c r="D285" s="18" t="s">
        <v>39</v>
      </c>
      <c r="E285" s="1">
        <v>44.9</v>
      </c>
      <c r="F285" s="1">
        <v>44.9</v>
      </c>
      <c r="G285" s="1">
        <v>44.9</v>
      </c>
    </row>
    <row r="286" spans="1:7" outlineLevel="2" x14ac:dyDescent="0.25">
      <c r="A286" s="50" t="s">
        <v>33</v>
      </c>
      <c r="B286" s="18" t="s">
        <v>56</v>
      </c>
      <c r="C286" s="18" t="s">
        <v>622</v>
      </c>
      <c r="D286" s="18" t="s">
        <v>536</v>
      </c>
      <c r="E286" s="1">
        <v>231007.7</v>
      </c>
      <c r="F286" s="1">
        <v>246269</v>
      </c>
      <c r="G286" s="1">
        <v>255873.5</v>
      </c>
    </row>
    <row r="287" spans="1:7" ht="94.5" outlineLevel="2" x14ac:dyDescent="0.25">
      <c r="A287" s="50" t="s">
        <v>396</v>
      </c>
      <c r="B287" s="18" t="s">
        <v>56</v>
      </c>
      <c r="C287" s="18" t="s">
        <v>564</v>
      </c>
      <c r="D287" s="18"/>
      <c r="E287" s="1">
        <f>E288</f>
        <v>4457</v>
      </c>
      <c r="F287" s="1">
        <f t="shared" ref="F287:G287" si="106">F288</f>
        <v>4938.2</v>
      </c>
      <c r="G287" s="1">
        <f t="shared" si="106"/>
        <v>5135.7000000000007</v>
      </c>
    </row>
    <row r="288" spans="1:7" ht="31.5" outlineLevel="2" x14ac:dyDescent="0.25">
      <c r="A288" s="40" t="s">
        <v>20</v>
      </c>
      <c r="B288" s="18" t="s">
        <v>56</v>
      </c>
      <c r="C288" s="18" t="s">
        <v>564</v>
      </c>
      <c r="D288" s="18" t="s">
        <v>565</v>
      </c>
      <c r="E288" s="1">
        <f>4.5+262.9+4189.6</f>
        <v>4457</v>
      </c>
      <c r="F288" s="1">
        <f>296.3+4641.9</f>
        <v>4938.2</v>
      </c>
      <c r="G288" s="1">
        <f>308.1+4827.6</f>
        <v>5135.7000000000007</v>
      </c>
    </row>
    <row r="289" spans="1:7" ht="63" outlineLevel="2" x14ac:dyDescent="0.25">
      <c r="A289" s="50" t="s">
        <v>395</v>
      </c>
      <c r="B289" s="18" t="s">
        <v>56</v>
      </c>
      <c r="C289" s="18" t="s">
        <v>566</v>
      </c>
      <c r="D289" s="18"/>
      <c r="E289" s="1">
        <f>E290</f>
        <v>192273.4</v>
      </c>
      <c r="F289" s="1">
        <f t="shared" ref="F289:G289" si="107">F290</f>
        <v>203501.30000000002</v>
      </c>
      <c r="G289" s="1">
        <f t="shared" si="107"/>
        <v>214694.5</v>
      </c>
    </row>
    <row r="290" spans="1:7" outlineLevel="2" x14ac:dyDescent="0.25">
      <c r="A290" s="50" t="s">
        <v>33</v>
      </c>
      <c r="B290" s="18" t="s">
        <v>56</v>
      </c>
      <c r="C290" s="18" t="s">
        <v>566</v>
      </c>
      <c r="D290" s="18" t="s">
        <v>536</v>
      </c>
      <c r="E290" s="1">
        <f>1327.6+10208.8+180737</f>
        <v>192273.4</v>
      </c>
      <c r="F290" s="1">
        <f>12210.1+191291.2</f>
        <v>203501.30000000002</v>
      </c>
      <c r="G290" s="1">
        <f>12881.7+201812.8</f>
        <v>214694.5</v>
      </c>
    </row>
    <row r="291" spans="1:7" ht="47.25" outlineLevel="2" x14ac:dyDescent="0.25">
      <c r="A291" s="33" t="s">
        <v>385</v>
      </c>
      <c r="B291" s="30" t="s">
        <v>56</v>
      </c>
      <c r="C291" s="30" t="s">
        <v>386</v>
      </c>
      <c r="D291" s="24"/>
      <c r="E291" s="1">
        <f>E292+E294</f>
        <v>16403.100000000002</v>
      </c>
      <c r="F291" s="1">
        <f t="shared" ref="F291:G291" si="108">F292+F294</f>
        <v>17058.900000000001</v>
      </c>
      <c r="G291" s="1">
        <f t="shared" si="108"/>
        <v>17740.900000000001</v>
      </c>
    </row>
    <row r="292" spans="1:7" ht="47.25" outlineLevel="2" x14ac:dyDescent="0.25">
      <c r="A292" s="2" t="s">
        <v>398</v>
      </c>
      <c r="B292" s="23" t="s">
        <v>56</v>
      </c>
      <c r="C292" s="23" t="s">
        <v>399</v>
      </c>
      <c r="D292" s="24"/>
      <c r="E292" s="1">
        <f>E293</f>
        <v>16395.2</v>
      </c>
      <c r="F292" s="1">
        <f t="shared" ref="F292:G292" si="109">F293</f>
        <v>17051</v>
      </c>
      <c r="G292" s="1">
        <f t="shared" si="109"/>
        <v>17733</v>
      </c>
    </row>
    <row r="293" spans="1:7" outlineLevel="2" x14ac:dyDescent="0.25">
      <c r="A293" s="50" t="s">
        <v>33</v>
      </c>
      <c r="B293" s="23" t="s">
        <v>56</v>
      </c>
      <c r="C293" s="23" t="s">
        <v>399</v>
      </c>
      <c r="D293" s="24">
        <v>800</v>
      </c>
      <c r="E293" s="1">
        <v>16395.2</v>
      </c>
      <c r="F293" s="1">
        <v>17051</v>
      </c>
      <c r="G293" s="1">
        <v>17733</v>
      </c>
    </row>
    <row r="294" spans="1:7" ht="78.75" outlineLevel="2" x14ac:dyDescent="0.25">
      <c r="A294" s="50" t="s">
        <v>400</v>
      </c>
      <c r="B294" s="23" t="s">
        <v>56</v>
      </c>
      <c r="C294" s="23" t="s">
        <v>401</v>
      </c>
      <c r="D294" s="24"/>
      <c r="E294" s="1">
        <f>E295</f>
        <v>7.9</v>
      </c>
      <c r="F294" s="1">
        <f t="shared" ref="F294:G294" si="110">F295</f>
        <v>7.9</v>
      </c>
      <c r="G294" s="1">
        <f t="shared" si="110"/>
        <v>7.9</v>
      </c>
    </row>
    <row r="295" spans="1:7" outlineLevel="2" x14ac:dyDescent="0.25">
      <c r="A295" s="50" t="s">
        <v>33</v>
      </c>
      <c r="B295" s="23" t="s">
        <v>56</v>
      </c>
      <c r="C295" s="23" t="s">
        <v>401</v>
      </c>
      <c r="D295" s="24">
        <v>800</v>
      </c>
      <c r="E295" s="1">
        <v>7.9</v>
      </c>
      <c r="F295" s="1">
        <v>7.9</v>
      </c>
      <c r="G295" s="1">
        <v>7.9</v>
      </c>
    </row>
    <row r="296" spans="1:7" outlineLevel="1" x14ac:dyDescent="0.25">
      <c r="A296" s="40" t="s">
        <v>57</v>
      </c>
      <c r="B296" s="23" t="s">
        <v>58</v>
      </c>
      <c r="D296" s="3"/>
      <c r="E296" s="1">
        <f>E297</f>
        <v>1224714.2999999998</v>
      </c>
      <c r="F296" s="1">
        <f t="shared" ref="F296:G296" si="111">F297</f>
        <v>652151.19999999995</v>
      </c>
      <c r="G296" s="1">
        <f t="shared" si="111"/>
        <v>650465.4</v>
      </c>
    </row>
    <row r="297" spans="1:7" ht="47.25" outlineLevel="2" x14ac:dyDescent="0.25">
      <c r="A297" s="33" t="s">
        <v>372</v>
      </c>
      <c r="B297" s="23" t="s">
        <v>58</v>
      </c>
      <c r="C297" s="3" t="s">
        <v>373</v>
      </c>
      <c r="D297" s="24"/>
      <c r="E297" s="1">
        <f>E304+E318+E298</f>
        <v>1224714.2999999998</v>
      </c>
      <c r="F297" s="1">
        <f t="shared" ref="F297:G297" si="112">F304+F318+F298</f>
        <v>652151.19999999995</v>
      </c>
      <c r="G297" s="1">
        <f t="shared" si="112"/>
        <v>650465.4</v>
      </c>
    </row>
    <row r="298" spans="1:7" outlineLevel="2" x14ac:dyDescent="0.25">
      <c r="A298" s="20" t="s">
        <v>229</v>
      </c>
      <c r="B298" s="18" t="s">
        <v>58</v>
      </c>
      <c r="C298" s="18" t="s">
        <v>539</v>
      </c>
      <c r="D298" s="18"/>
      <c r="E298" s="1">
        <f>E299</f>
        <v>419586.6</v>
      </c>
      <c r="F298" s="1">
        <f t="shared" ref="F298:G302" si="113">F299</f>
        <v>108975.9</v>
      </c>
      <c r="G298" s="1">
        <f t="shared" si="113"/>
        <v>104473.4</v>
      </c>
    </row>
    <row r="299" spans="1:7" ht="47.25" outlineLevel="2" x14ac:dyDescent="0.25">
      <c r="A299" s="20" t="s">
        <v>537</v>
      </c>
      <c r="B299" s="18" t="s">
        <v>58</v>
      </c>
      <c r="C299" s="18" t="s">
        <v>540</v>
      </c>
      <c r="D299" s="18"/>
      <c r="E299" s="1">
        <f>E302+E300</f>
        <v>419586.6</v>
      </c>
      <c r="F299" s="1">
        <f t="shared" ref="F299:G299" si="114">F302+F300</f>
        <v>108975.9</v>
      </c>
      <c r="G299" s="1">
        <f t="shared" si="114"/>
        <v>104473.4</v>
      </c>
    </row>
    <row r="300" spans="1:7" ht="78.75" outlineLevel="2" x14ac:dyDescent="0.25">
      <c r="A300" s="29" t="s">
        <v>542</v>
      </c>
      <c r="B300" s="18" t="s">
        <v>58</v>
      </c>
      <c r="C300" s="18" t="s">
        <v>543</v>
      </c>
      <c r="D300" s="18"/>
      <c r="E300" s="1">
        <f>E301</f>
        <v>306091.2</v>
      </c>
      <c r="F300" s="1">
        <f t="shared" ref="F300:G300" si="115">F301</f>
        <v>0</v>
      </c>
      <c r="G300" s="1">
        <f t="shared" si="115"/>
        <v>0</v>
      </c>
    </row>
    <row r="301" spans="1:7" ht="47.25" outlineLevel="2" x14ac:dyDescent="0.25">
      <c r="A301" s="29" t="s">
        <v>94</v>
      </c>
      <c r="B301" s="18" t="s">
        <v>58</v>
      </c>
      <c r="C301" s="18" t="s">
        <v>543</v>
      </c>
      <c r="D301" s="18" t="s">
        <v>95</v>
      </c>
      <c r="E301" s="1">
        <f>3060.9+303030.3</f>
        <v>306091.2</v>
      </c>
      <c r="F301" s="1">
        <v>0</v>
      </c>
      <c r="G301" s="1">
        <v>0</v>
      </c>
    </row>
    <row r="302" spans="1:7" ht="31.5" outlineLevel="2" x14ac:dyDescent="0.25">
      <c r="A302" s="22" t="s">
        <v>538</v>
      </c>
      <c r="B302" s="18" t="s">
        <v>58</v>
      </c>
      <c r="C302" s="18" t="s">
        <v>541</v>
      </c>
      <c r="D302" s="18"/>
      <c r="E302" s="1">
        <f t="shared" ref="E302" si="116">E303</f>
        <v>113495.4</v>
      </c>
      <c r="F302" s="1">
        <f t="shared" si="113"/>
        <v>108975.9</v>
      </c>
      <c r="G302" s="1">
        <f t="shared" si="113"/>
        <v>104473.4</v>
      </c>
    </row>
    <row r="303" spans="1:7" ht="31.5" outlineLevel="2" x14ac:dyDescent="0.25">
      <c r="A303" s="22" t="s">
        <v>76</v>
      </c>
      <c r="B303" s="18" t="s">
        <v>58</v>
      </c>
      <c r="C303" s="18" t="s">
        <v>541</v>
      </c>
      <c r="D303" s="18" t="s">
        <v>39</v>
      </c>
      <c r="E303" s="1">
        <f>1135+112360.4</f>
        <v>113495.4</v>
      </c>
      <c r="F303" s="1">
        <f>1089.7+107886.2</f>
        <v>108975.9</v>
      </c>
      <c r="G303" s="1">
        <f>1044.7+103428.7</f>
        <v>104473.4</v>
      </c>
    </row>
    <row r="304" spans="1:7" outlineLevel="2" x14ac:dyDescent="0.25">
      <c r="A304" s="33" t="s">
        <v>156</v>
      </c>
      <c r="B304" s="30" t="s">
        <v>58</v>
      </c>
      <c r="C304" s="30" t="s">
        <v>374</v>
      </c>
      <c r="D304" s="24"/>
      <c r="E304" s="1">
        <f>E305</f>
        <v>183931.90000000002</v>
      </c>
      <c r="F304" s="1">
        <f t="shared" ref="F304:G304" si="117">F305</f>
        <v>29013.5</v>
      </c>
      <c r="G304" s="1">
        <f t="shared" si="117"/>
        <v>21276.6</v>
      </c>
    </row>
    <row r="305" spans="1:7" ht="63" outlineLevel="2" x14ac:dyDescent="0.25">
      <c r="A305" s="33" t="s">
        <v>375</v>
      </c>
      <c r="B305" s="23" t="s">
        <v>58</v>
      </c>
      <c r="C305" s="23" t="s">
        <v>376</v>
      </c>
      <c r="D305" s="24"/>
      <c r="E305" s="1">
        <f>E306+E308+E314+E316+E310+E312</f>
        <v>183931.90000000002</v>
      </c>
      <c r="F305" s="1">
        <f t="shared" ref="F305:G305" si="118">F306+F308+F314+F316+F310+F312</f>
        <v>29013.5</v>
      </c>
      <c r="G305" s="1">
        <f t="shared" si="118"/>
        <v>21276.6</v>
      </c>
    </row>
    <row r="306" spans="1:7" ht="47.25" outlineLevel="2" x14ac:dyDescent="0.25">
      <c r="A306" s="34" t="s">
        <v>493</v>
      </c>
      <c r="B306" s="30" t="s">
        <v>58</v>
      </c>
      <c r="C306" s="30" t="s">
        <v>409</v>
      </c>
      <c r="D306" s="30"/>
      <c r="E306" s="1">
        <f>E307</f>
        <v>12000</v>
      </c>
      <c r="F306" s="1">
        <f t="shared" ref="F306:G306" si="119">F307</f>
        <v>0</v>
      </c>
      <c r="G306" s="1">
        <f t="shared" si="119"/>
        <v>0</v>
      </c>
    </row>
    <row r="307" spans="1:7" ht="31.5" outlineLevel="2" x14ac:dyDescent="0.25">
      <c r="A307" s="34" t="s">
        <v>76</v>
      </c>
      <c r="B307" s="30" t="s">
        <v>58</v>
      </c>
      <c r="C307" s="30" t="s">
        <v>409</v>
      </c>
      <c r="D307" s="30" t="s">
        <v>39</v>
      </c>
      <c r="E307" s="1">
        <v>12000</v>
      </c>
      <c r="F307" s="1">
        <v>0</v>
      </c>
      <c r="G307" s="1">
        <v>0</v>
      </c>
    </row>
    <row r="308" spans="1:7" outlineLevel="2" x14ac:dyDescent="0.25">
      <c r="A308" s="33" t="s">
        <v>377</v>
      </c>
      <c r="B308" s="23" t="s">
        <v>58</v>
      </c>
      <c r="C308" s="23" t="s">
        <v>378</v>
      </c>
      <c r="D308" s="3"/>
      <c r="E308" s="1">
        <f>E309</f>
        <v>33786.799999999996</v>
      </c>
      <c r="F308" s="1">
        <f t="shared" ref="F308:G308" si="120">F309</f>
        <v>0</v>
      </c>
      <c r="G308" s="1">
        <f t="shared" si="120"/>
        <v>0</v>
      </c>
    </row>
    <row r="309" spans="1:7" ht="31.5" outlineLevel="2" x14ac:dyDescent="0.25">
      <c r="A309" s="33" t="s">
        <v>76</v>
      </c>
      <c r="B309" s="23" t="s">
        <v>58</v>
      </c>
      <c r="C309" s="23" t="s">
        <v>378</v>
      </c>
      <c r="D309" s="3">
        <v>200</v>
      </c>
      <c r="E309" s="1">
        <f>29648.6+4138.2</f>
        <v>33786.799999999996</v>
      </c>
      <c r="F309" s="1">
        <v>0</v>
      </c>
      <c r="G309" s="1">
        <v>0</v>
      </c>
    </row>
    <row r="310" spans="1:7" ht="31.5" outlineLevel="2" x14ac:dyDescent="0.25">
      <c r="A310" s="22" t="s">
        <v>618</v>
      </c>
      <c r="B310" s="18" t="s">
        <v>58</v>
      </c>
      <c r="C310" s="18" t="s">
        <v>620</v>
      </c>
      <c r="D310" s="18"/>
      <c r="E310" s="1">
        <f>E311</f>
        <v>15372.1</v>
      </c>
      <c r="F310" s="1">
        <f t="shared" ref="F310:G310" si="121">F311</f>
        <v>0</v>
      </c>
      <c r="G310" s="1">
        <f t="shared" si="121"/>
        <v>0</v>
      </c>
    </row>
    <row r="311" spans="1:7" ht="31.5" outlineLevel="2" x14ac:dyDescent="0.25">
      <c r="A311" s="22" t="s">
        <v>76</v>
      </c>
      <c r="B311" s="18" t="s">
        <v>58</v>
      </c>
      <c r="C311" s="18" t="s">
        <v>620</v>
      </c>
      <c r="D311" s="18">
        <v>200</v>
      </c>
      <c r="E311" s="1">
        <v>15372.1</v>
      </c>
      <c r="G311" s="1"/>
    </row>
    <row r="312" spans="1:7" ht="47.25" outlineLevel="2" x14ac:dyDescent="0.25">
      <c r="A312" s="22" t="s">
        <v>619</v>
      </c>
      <c r="B312" s="18" t="s">
        <v>58</v>
      </c>
      <c r="C312" s="18" t="s">
        <v>621</v>
      </c>
      <c r="D312" s="18"/>
      <c r="E312" s="1">
        <f>E313</f>
        <v>2270.1</v>
      </c>
      <c r="F312" s="1">
        <f t="shared" ref="F312:G312" si="122">F313</f>
        <v>0</v>
      </c>
      <c r="G312" s="1">
        <f t="shared" si="122"/>
        <v>0</v>
      </c>
    </row>
    <row r="313" spans="1:7" ht="31.5" outlineLevel="2" x14ac:dyDescent="0.25">
      <c r="A313" s="22" t="s">
        <v>76</v>
      </c>
      <c r="B313" s="18" t="s">
        <v>58</v>
      </c>
      <c r="C313" s="18" t="s">
        <v>621</v>
      </c>
      <c r="D313" s="18">
        <v>200</v>
      </c>
      <c r="E313" s="1">
        <v>2270.1</v>
      </c>
      <c r="F313" s="1">
        <v>0</v>
      </c>
      <c r="G313" s="1">
        <v>0</v>
      </c>
    </row>
    <row r="314" spans="1:7" ht="94.5" outlineLevel="2" x14ac:dyDescent="0.25">
      <c r="A314" s="29" t="s">
        <v>544</v>
      </c>
      <c r="B314" s="18" t="s">
        <v>58</v>
      </c>
      <c r="C314" s="18" t="s">
        <v>546</v>
      </c>
      <c r="D314" s="18"/>
      <c r="E314" s="1">
        <f>E315</f>
        <v>7736.9</v>
      </c>
      <c r="F314" s="1">
        <f t="shared" ref="F314:G314" si="123">F315</f>
        <v>7736.9</v>
      </c>
      <c r="G314" s="1">
        <f t="shared" si="123"/>
        <v>0</v>
      </c>
    </row>
    <row r="315" spans="1:7" ht="31.5" outlineLevel="2" x14ac:dyDescent="0.25">
      <c r="A315" s="29" t="s">
        <v>76</v>
      </c>
      <c r="B315" s="18" t="s">
        <v>58</v>
      </c>
      <c r="C315" s="18" t="s">
        <v>546</v>
      </c>
      <c r="D315" s="18" t="s">
        <v>39</v>
      </c>
      <c r="E315" s="1">
        <f>464.2+7272.7</f>
        <v>7736.9</v>
      </c>
      <c r="F315" s="1">
        <f>464.2+7272.7</f>
        <v>7736.9</v>
      </c>
      <c r="G315" s="1">
        <v>0</v>
      </c>
    </row>
    <row r="316" spans="1:7" ht="31.5" outlineLevel="2" x14ac:dyDescent="0.25">
      <c r="A316" s="29" t="s">
        <v>545</v>
      </c>
      <c r="B316" s="18" t="s">
        <v>58</v>
      </c>
      <c r="C316" s="18" t="s">
        <v>547</v>
      </c>
      <c r="D316" s="18"/>
      <c r="E316" s="1">
        <f>E317</f>
        <v>112766</v>
      </c>
      <c r="F316" s="1">
        <f t="shared" ref="F316:G316" si="124">F317</f>
        <v>21276.6</v>
      </c>
      <c r="G316" s="1">
        <f t="shared" si="124"/>
        <v>21276.6</v>
      </c>
    </row>
    <row r="317" spans="1:7" ht="31.5" outlineLevel="2" x14ac:dyDescent="0.25">
      <c r="A317" s="29" t="s">
        <v>76</v>
      </c>
      <c r="B317" s="18" t="s">
        <v>58</v>
      </c>
      <c r="C317" s="18" t="s">
        <v>547</v>
      </c>
      <c r="D317" s="18" t="s">
        <v>39</v>
      </c>
      <c r="E317" s="1">
        <f>6766+106000</f>
        <v>112766</v>
      </c>
      <c r="F317" s="1">
        <f>1276.6+20000</f>
        <v>21276.6</v>
      </c>
      <c r="G317" s="1">
        <f>1276.6+20000</f>
        <v>21276.6</v>
      </c>
    </row>
    <row r="318" spans="1:7" outlineLevel="2" x14ac:dyDescent="0.25">
      <c r="A318" s="33" t="s">
        <v>145</v>
      </c>
      <c r="B318" s="30" t="s">
        <v>58</v>
      </c>
      <c r="C318" s="30" t="s">
        <v>410</v>
      </c>
      <c r="D318" s="24"/>
      <c r="E318" s="1">
        <f>E319</f>
        <v>621195.79999999993</v>
      </c>
      <c r="F318" s="1">
        <f t="shared" ref="F318:G318" si="125">F319</f>
        <v>514161.79999999993</v>
      </c>
      <c r="G318" s="1">
        <f t="shared" si="125"/>
        <v>524715.4</v>
      </c>
    </row>
    <row r="319" spans="1:7" ht="47.25" outlineLevel="2" x14ac:dyDescent="0.25">
      <c r="A319" s="33" t="s">
        <v>411</v>
      </c>
      <c r="B319" s="30" t="s">
        <v>58</v>
      </c>
      <c r="C319" s="30" t="s">
        <v>412</v>
      </c>
      <c r="D319" s="24"/>
      <c r="E319" s="1">
        <f>E320+E324+E322+E347+E327+E329+E331+E333+E335+E337+E339+E341+E343+E345+E349</f>
        <v>621195.79999999993</v>
      </c>
      <c r="F319" s="1">
        <f>F320+F324+F322+F347+F327+F329+F331+F333+F335+F337+F339+F341+F343+F345+F349</f>
        <v>514161.79999999993</v>
      </c>
      <c r="G319" s="1">
        <f>G320+G324+G322+G347+G327+G329+G331+G333+G335+G337+G339+G341+G343+G345+G349</f>
        <v>524715.4</v>
      </c>
    </row>
    <row r="320" spans="1:7" ht="31.5" outlineLevel="2" x14ac:dyDescent="0.25">
      <c r="A320" s="29" t="s">
        <v>413</v>
      </c>
      <c r="B320" s="30" t="s">
        <v>58</v>
      </c>
      <c r="C320" s="23" t="s">
        <v>414</v>
      </c>
      <c r="D320" s="24"/>
      <c r="E320" s="42">
        <f>E321</f>
        <v>2010.1</v>
      </c>
      <c r="F320" s="42">
        <f t="shared" ref="F320:G320" si="126">F321</f>
        <v>2010.1</v>
      </c>
      <c r="G320" s="42">
        <f t="shared" si="126"/>
        <v>2010.1</v>
      </c>
    </row>
    <row r="321" spans="1:7" ht="31.5" outlineLevel="2" x14ac:dyDescent="0.25">
      <c r="A321" s="20" t="s">
        <v>76</v>
      </c>
      <c r="B321" s="30" t="s">
        <v>58</v>
      </c>
      <c r="C321" s="23" t="s">
        <v>414</v>
      </c>
      <c r="D321" s="24">
        <v>200</v>
      </c>
      <c r="E321" s="42">
        <v>2010.1</v>
      </c>
      <c r="F321" s="1">
        <v>2010.1</v>
      </c>
      <c r="G321" s="1">
        <v>2010.1</v>
      </c>
    </row>
    <row r="322" spans="1:7" ht="36" customHeight="1" outlineLevel="2" x14ac:dyDescent="0.25">
      <c r="A322" s="20" t="s">
        <v>517</v>
      </c>
      <c r="B322" s="30" t="s">
        <v>58</v>
      </c>
      <c r="C322" s="23" t="s">
        <v>415</v>
      </c>
      <c r="D322" s="24"/>
      <c r="E322" s="1">
        <f>E323</f>
        <v>21350</v>
      </c>
      <c r="F322" s="1">
        <f t="shared" ref="F322:G322" si="127">F323</f>
        <v>0</v>
      </c>
      <c r="G322" s="1">
        <f t="shared" si="127"/>
        <v>0</v>
      </c>
    </row>
    <row r="323" spans="1:7" ht="31.5" outlineLevel="2" x14ac:dyDescent="0.25">
      <c r="A323" s="20" t="s">
        <v>76</v>
      </c>
      <c r="B323" s="23" t="s">
        <v>58</v>
      </c>
      <c r="C323" s="23" t="s">
        <v>415</v>
      </c>
      <c r="D323" s="24">
        <v>200</v>
      </c>
      <c r="E323" s="1">
        <f>21000+350</f>
        <v>21350</v>
      </c>
      <c r="F323" s="1">
        <v>0</v>
      </c>
      <c r="G323" s="1">
        <v>0</v>
      </c>
    </row>
    <row r="324" spans="1:7" ht="31.5" outlineLevel="2" x14ac:dyDescent="0.25">
      <c r="A324" s="20" t="s">
        <v>416</v>
      </c>
      <c r="B324" s="23" t="s">
        <v>58</v>
      </c>
      <c r="C324" s="18" t="s">
        <v>417</v>
      </c>
      <c r="D324" s="9"/>
      <c r="E324" s="1">
        <f>E326+E325</f>
        <v>118187.2</v>
      </c>
      <c r="F324" s="1">
        <f t="shared" ref="F324:G324" si="128">F326+F325</f>
        <v>21988</v>
      </c>
      <c r="G324" s="1">
        <f t="shared" si="128"/>
        <v>21988</v>
      </c>
    </row>
    <row r="325" spans="1:7" ht="31.5" outlineLevel="2" x14ac:dyDescent="0.25">
      <c r="A325" s="29" t="s">
        <v>76</v>
      </c>
      <c r="B325" s="18" t="s">
        <v>58</v>
      </c>
      <c r="C325" s="18" t="s">
        <v>417</v>
      </c>
      <c r="D325" s="18" t="s">
        <v>39</v>
      </c>
      <c r="E325" s="1">
        <v>96199.2</v>
      </c>
      <c r="F325" s="1">
        <v>0</v>
      </c>
      <c r="G325" s="1">
        <v>0</v>
      </c>
    </row>
    <row r="326" spans="1:7" ht="47.25" outlineLevel="2" x14ac:dyDescent="0.25">
      <c r="A326" s="20" t="s">
        <v>94</v>
      </c>
      <c r="B326" s="23" t="s">
        <v>58</v>
      </c>
      <c r="C326" s="18" t="s">
        <v>417</v>
      </c>
      <c r="D326" s="9">
        <v>600</v>
      </c>
      <c r="E326" s="1">
        <v>21988</v>
      </c>
      <c r="F326" s="1">
        <v>21988</v>
      </c>
      <c r="G326" s="1">
        <v>21988</v>
      </c>
    </row>
    <row r="327" spans="1:7" ht="31.5" outlineLevel="2" x14ac:dyDescent="0.25">
      <c r="A327" s="53" t="s">
        <v>418</v>
      </c>
      <c r="B327" s="23" t="s">
        <v>58</v>
      </c>
      <c r="C327" s="23" t="s">
        <v>419</v>
      </c>
      <c r="D327" s="24"/>
      <c r="E327" s="1">
        <f>E328</f>
        <v>350</v>
      </c>
      <c r="F327" s="1">
        <f t="shared" ref="F327:G327" si="129">F328</f>
        <v>350</v>
      </c>
      <c r="G327" s="1">
        <f t="shared" si="129"/>
        <v>350</v>
      </c>
    </row>
    <row r="328" spans="1:7" ht="31.5" outlineLevel="2" x14ac:dyDescent="0.25">
      <c r="A328" s="20" t="s">
        <v>76</v>
      </c>
      <c r="B328" s="23" t="s">
        <v>58</v>
      </c>
      <c r="C328" s="23" t="s">
        <v>419</v>
      </c>
      <c r="D328" s="24">
        <v>200</v>
      </c>
      <c r="E328" s="1">
        <v>350</v>
      </c>
      <c r="F328" s="1">
        <v>350</v>
      </c>
      <c r="G328" s="1">
        <v>350</v>
      </c>
    </row>
    <row r="329" spans="1:7" ht="31.5" outlineLevel="2" x14ac:dyDescent="0.25">
      <c r="A329" s="54" t="s">
        <v>420</v>
      </c>
      <c r="B329" s="23" t="s">
        <v>58</v>
      </c>
      <c r="C329" s="23" t="s">
        <v>421</v>
      </c>
      <c r="D329" s="24"/>
      <c r="E329" s="1">
        <f>E330</f>
        <v>300</v>
      </c>
      <c r="F329" s="1">
        <f t="shared" ref="F329:G329" si="130">F330</f>
        <v>312</v>
      </c>
      <c r="G329" s="1">
        <f t="shared" si="130"/>
        <v>324.5</v>
      </c>
    </row>
    <row r="330" spans="1:7" ht="31.5" outlineLevel="2" x14ac:dyDescent="0.25">
      <c r="A330" s="20" t="s">
        <v>76</v>
      </c>
      <c r="B330" s="23" t="s">
        <v>58</v>
      </c>
      <c r="C330" s="23" t="s">
        <v>421</v>
      </c>
      <c r="D330" s="24">
        <v>200</v>
      </c>
      <c r="E330" s="1">
        <v>300</v>
      </c>
      <c r="F330" s="1">
        <v>312</v>
      </c>
      <c r="G330" s="1">
        <v>324.5</v>
      </c>
    </row>
    <row r="331" spans="1:7" ht="47.25" outlineLevel="2" x14ac:dyDescent="0.25">
      <c r="A331" s="54" t="s">
        <v>422</v>
      </c>
      <c r="B331" s="23" t="s">
        <v>58</v>
      </c>
      <c r="C331" s="23" t="s">
        <v>423</v>
      </c>
      <c r="D331" s="24"/>
      <c r="E331" s="1">
        <f>E332</f>
        <v>30000</v>
      </c>
      <c r="F331" s="1">
        <f t="shared" ref="F331:G331" si="131">F332</f>
        <v>31200</v>
      </c>
      <c r="G331" s="1">
        <f t="shared" si="131"/>
        <v>32448</v>
      </c>
    </row>
    <row r="332" spans="1:7" ht="31.5" outlineLevel="2" x14ac:dyDescent="0.25">
      <c r="A332" s="20" t="s">
        <v>76</v>
      </c>
      <c r="B332" s="23" t="s">
        <v>58</v>
      </c>
      <c r="C332" s="23" t="s">
        <v>423</v>
      </c>
      <c r="D332" s="24">
        <v>200</v>
      </c>
      <c r="E332" s="1">
        <v>30000</v>
      </c>
      <c r="F332" s="1">
        <v>31200</v>
      </c>
      <c r="G332" s="1">
        <v>32448</v>
      </c>
    </row>
    <row r="333" spans="1:7" ht="47.25" outlineLevel="2" x14ac:dyDescent="0.25">
      <c r="A333" s="54" t="s">
        <v>424</v>
      </c>
      <c r="B333" s="23" t="s">
        <v>58</v>
      </c>
      <c r="C333" s="23" t="s">
        <v>425</v>
      </c>
      <c r="D333" s="24"/>
      <c r="E333" s="1">
        <f>E334</f>
        <v>180</v>
      </c>
      <c r="F333" s="1">
        <f t="shared" ref="F333:G333" si="132">F334</f>
        <v>187.2</v>
      </c>
      <c r="G333" s="1">
        <f t="shared" si="132"/>
        <v>194.7</v>
      </c>
    </row>
    <row r="334" spans="1:7" ht="31.5" outlineLevel="2" x14ac:dyDescent="0.25">
      <c r="A334" s="20" t="s">
        <v>76</v>
      </c>
      <c r="B334" s="23" t="s">
        <v>58</v>
      </c>
      <c r="C334" s="23" t="s">
        <v>425</v>
      </c>
      <c r="D334" s="24">
        <v>200</v>
      </c>
      <c r="E334" s="1">
        <v>180</v>
      </c>
      <c r="F334" s="1">
        <v>187.2</v>
      </c>
      <c r="G334" s="1">
        <v>194.7</v>
      </c>
    </row>
    <row r="335" spans="1:7" ht="47.25" outlineLevel="2" x14ac:dyDescent="0.25">
      <c r="A335" s="54" t="s">
        <v>426</v>
      </c>
      <c r="B335" s="23" t="s">
        <v>58</v>
      </c>
      <c r="C335" s="23" t="s">
        <v>427</v>
      </c>
      <c r="D335" s="24"/>
      <c r="E335" s="1">
        <f>E336</f>
        <v>3000</v>
      </c>
      <c r="F335" s="1">
        <f t="shared" ref="F335:G335" si="133">F336</f>
        <v>3000</v>
      </c>
      <c r="G335" s="1">
        <f t="shared" si="133"/>
        <v>3000</v>
      </c>
    </row>
    <row r="336" spans="1:7" ht="31.5" outlineLevel="2" x14ac:dyDescent="0.25">
      <c r="A336" s="20" t="s">
        <v>76</v>
      </c>
      <c r="B336" s="23" t="s">
        <v>58</v>
      </c>
      <c r="C336" s="23" t="s">
        <v>427</v>
      </c>
      <c r="D336" s="24">
        <v>200</v>
      </c>
      <c r="E336" s="1">
        <v>3000</v>
      </c>
      <c r="F336" s="1">
        <v>3000</v>
      </c>
      <c r="G336" s="1">
        <v>3000</v>
      </c>
    </row>
    <row r="337" spans="1:7" ht="31.5" outlineLevel="2" x14ac:dyDescent="0.25">
      <c r="A337" s="54" t="s">
        <v>428</v>
      </c>
      <c r="B337" s="23" t="s">
        <v>58</v>
      </c>
      <c r="C337" s="23" t="s">
        <v>429</v>
      </c>
      <c r="D337" s="24"/>
      <c r="E337" s="1">
        <f>E338</f>
        <v>88</v>
      </c>
      <c r="F337" s="1">
        <f t="shared" ref="F337:G337" si="134">F338</f>
        <v>0</v>
      </c>
      <c r="G337" s="1">
        <f t="shared" si="134"/>
        <v>0</v>
      </c>
    </row>
    <row r="338" spans="1:7" ht="31.5" outlineLevel="2" x14ac:dyDescent="0.25">
      <c r="A338" s="20" t="s">
        <v>76</v>
      </c>
      <c r="B338" s="23" t="s">
        <v>58</v>
      </c>
      <c r="C338" s="23" t="s">
        <v>429</v>
      </c>
      <c r="D338" s="24">
        <v>200</v>
      </c>
      <c r="E338" s="1">
        <v>88</v>
      </c>
      <c r="F338" s="1">
        <v>0</v>
      </c>
      <c r="G338" s="1">
        <v>0</v>
      </c>
    </row>
    <row r="339" spans="1:7" ht="31.5" outlineLevel="2" x14ac:dyDescent="0.25">
      <c r="A339" s="54" t="s">
        <v>430</v>
      </c>
      <c r="B339" s="23" t="s">
        <v>58</v>
      </c>
      <c r="C339" s="23" t="s">
        <v>431</v>
      </c>
      <c r="D339" s="24"/>
      <c r="E339" s="1">
        <f>E340</f>
        <v>100</v>
      </c>
      <c r="F339" s="1">
        <f t="shared" ref="F339:G339" si="135">F340</f>
        <v>110</v>
      </c>
      <c r="G339" s="1">
        <f t="shared" si="135"/>
        <v>110</v>
      </c>
    </row>
    <row r="340" spans="1:7" ht="31.5" outlineLevel="2" x14ac:dyDescent="0.25">
      <c r="A340" s="20" t="s">
        <v>76</v>
      </c>
      <c r="B340" s="23" t="s">
        <v>58</v>
      </c>
      <c r="C340" s="23" t="s">
        <v>431</v>
      </c>
      <c r="D340" s="24">
        <v>200</v>
      </c>
      <c r="E340" s="1">
        <v>100</v>
      </c>
      <c r="F340" s="1">
        <v>110</v>
      </c>
      <c r="G340" s="1">
        <v>110</v>
      </c>
    </row>
    <row r="341" spans="1:7" ht="31.5" outlineLevel="2" x14ac:dyDescent="0.25">
      <c r="A341" s="54" t="s">
        <v>533</v>
      </c>
      <c r="B341" s="23" t="s">
        <v>58</v>
      </c>
      <c r="C341" s="23" t="s">
        <v>432</v>
      </c>
      <c r="D341" s="24"/>
      <c r="E341" s="1">
        <f>E342</f>
        <v>370</v>
      </c>
      <c r="F341" s="1">
        <f t="shared" ref="F341:G341" si="136">F342</f>
        <v>0</v>
      </c>
      <c r="G341" s="1">
        <f t="shared" si="136"/>
        <v>0</v>
      </c>
    </row>
    <row r="342" spans="1:7" ht="31.5" outlineLevel="2" x14ac:dyDescent="0.25">
      <c r="A342" s="20" t="s">
        <v>76</v>
      </c>
      <c r="B342" s="23" t="s">
        <v>58</v>
      </c>
      <c r="C342" s="23" t="s">
        <v>432</v>
      </c>
      <c r="D342" s="24">
        <v>200</v>
      </c>
      <c r="E342" s="1">
        <v>370</v>
      </c>
      <c r="F342" s="1">
        <v>0</v>
      </c>
      <c r="G342" s="1">
        <v>0</v>
      </c>
    </row>
    <row r="343" spans="1:7" ht="63" outlineLevel="2" x14ac:dyDescent="0.25">
      <c r="A343" s="2" t="s">
        <v>433</v>
      </c>
      <c r="B343" s="23" t="s">
        <v>58</v>
      </c>
      <c r="C343" s="23" t="s">
        <v>434</v>
      </c>
      <c r="D343" s="24"/>
      <c r="E343" s="1">
        <f>E344</f>
        <v>172666.9</v>
      </c>
      <c r="F343" s="1">
        <f t="shared" ref="F343:G343" si="137">F344</f>
        <v>172666.9</v>
      </c>
      <c r="G343" s="1">
        <f t="shared" si="137"/>
        <v>172666.9</v>
      </c>
    </row>
    <row r="344" spans="1:7" ht="47.25" outlineLevel="2" x14ac:dyDescent="0.25">
      <c r="A344" s="20" t="s">
        <v>94</v>
      </c>
      <c r="B344" s="23" t="s">
        <v>58</v>
      </c>
      <c r="C344" s="23" t="s">
        <v>434</v>
      </c>
      <c r="D344" s="24">
        <v>600</v>
      </c>
      <c r="E344" s="1">
        <v>172666.9</v>
      </c>
      <c r="F344" s="1">
        <v>172666.9</v>
      </c>
      <c r="G344" s="1">
        <v>172666.9</v>
      </c>
    </row>
    <row r="345" spans="1:7" outlineLevel="2" x14ac:dyDescent="0.25">
      <c r="A345" s="20" t="s">
        <v>435</v>
      </c>
      <c r="B345" s="23" t="s">
        <v>58</v>
      </c>
      <c r="C345" s="23" t="s">
        <v>436</v>
      </c>
      <c r="D345" s="24"/>
      <c r="E345" s="1">
        <f>E346</f>
        <v>8749.7000000000007</v>
      </c>
      <c r="F345" s="1">
        <f t="shared" ref="F345:G345" si="138">F346</f>
        <v>5367.9</v>
      </c>
      <c r="G345" s="1">
        <f t="shared" si="138"/>
        <v>5367.9</v>
      </c>
    </row>
    <row r="346" spans="1:7" ht="47.25" outlineLevel="2" x14ac:dyDescent="0.25">
      <c r="A346" s="20" t="s">
        <v>94</v>
      </c>
      <c r="B346" s="23" t="s">
        <v>58</v>
      </c>
      <c r="C346" s="23" t="s">
        <v>436</v>
      </c>
      <c r="D346" s="24">
        <v>600</v>
      </c>
      <c r="E346" s="1">
        <f>5367.9+3381.8</f>
        <v>8749.7000000000007</v>
      </c>
      <c r="F346" s="1">
        <v>5367.9</v>
      </c>
      <c r="G346" s="1">
        <v>5367.9</v>
      </c>
    </row>
    <row r="347" spans="1:7" ht="31.5" outlineLevel="2" x14ac:dyDescent="0.25">
      <c r="A347" s="50" t="s">
        <v>437</v>
      </c>
      <c r="B347" s="23" t="s">
        <v>58</v>
      </c>
      <c r="C347" s="23" t="s">
        <v>438</v>
      </c>
      <c r="D347" s="24"/>
      <c r="E347" s="1">
        <f>E348</f>
        <v>7413</v>
      </c>
      <c r="F347" s="1">
        <f t="shared" ref="F347:G347" si="139">F348</f>
        <v>7734.4</v>
      </c>
      <c r="G347" s="1">
        <f t="shared" si="139"/>
        <v>8041.9</v>
      </c>
    </row>
    <row r="348" spans="1:7" ht="31.5" outlineLevel="2" x14ac:dyDescent="0.25">
      <c r="A348" s="20" t="s">
        <v>76</v>
      </c>
      <c r="B348" s="23" t="s">
        <v>58</v>
      </c>
      <c r="C348" s="23" t="s">
        <v>438</v>
      </c>
      <c r="D348" s="24">
        <v>200</v>
      </c>
      <c r="E348" s="1">
        <v>7413</v>
      </c>
      <c r="F348" s="1">
        <v>7734.4</v>
      </c>
      <c r="G348" s="1">
        <v>8041.9</v>
      </c>
    </row>
    <row r="349" spans="1:7" ht="78.75" outlineLevel="2" x14ac:dyDescent="0.25">
      <c r="A349" s="2" t="s">
        <v>439</v>
      </c>
      <c r="B349" s="23" t="s">
        <v>58</v>
      </c>
      <c r="C349" s="23" t="s">
        <v>440</v>
      </c>
      <c r="D349" s="24"/>
      <c r="E349" s="1">
        <f>E350</f>
        <v>256430.9</v>
      </c>
      <c r="F349" s="1">
        <f>F350</f>
        <v>269235.3</v>
      </c>
      <c r="G349" s="1">
        <f>G350</f>
        <v>278213.40000000002</v>
      </c>
    </row>
    <row r="350" spans="1:7" outlineLevel="2" x14ac:dyDescent="0.25">
      <c r="A350" s="50" t="s">
        <v>33</v>
      </c>
      <c r="B350" s="23" t="s">
        <v>58</v>
      </c>
      <c r="C350" s="23" t="s">
        <v>440</v>
      </c>
      <c r="D350" s="24">
        <v>800</v>
      </c>
      <c r="E350" s="1">
        <v>256430.9</v>
      </c>
      <c r="F350" s="1">
        <v>269235.3</v>
      </c>
      <c r="G350" s="1">
        <v>278213.40000000002</v>
      </c>
    </row>
    <row r="351" spans="1:7" ht="31.5" outlineLevel="1" x14ac:dyDescent="0.25">
      <c r="A351" s="22" t="s">
        <v>88</v>
      </c>
      <c r="B351" s="18" t="s">
        <v>89</v>
      </c>
      <c r="C351" s="18"/>
      <c r="D351" s="9"/>
      <c r="E351" s="19">
        <f>E352+E357+E364</f>
        <v>212805.5</v>
      </c>
      <c r="F351" s="19">
        <f>F352+F357+F364</f>
        <v>207615.9</v>
      </c>
      <c r="G351" s="19">
        <f>G352+G357+G364</f>
        <v>211570</v>
      </c>
    </row>
    <row r="352" spans="1:7" ht="47.25" outlineLevel="2" x14ac:dyDescent="0.25">
      <c r="A352" s="29" t="s">
        <v>59</v>
      </c>
      <c r="B352" s="23" t="s">
        <v>89</v>
      </c>
      <c r="C352" s="23" t="s">
        <v>60</v>
      </c>
      <c r="D352" s="24"/>
      <c r="E352" s="1">
        <f>E353</f>
        <v>1.5</v>
      </c>
      <c r="F352" s="1">
        <f t="shared" ref="F352:G355" si="140">F353</f>
        <v>1.5</v>
      </c>
      <c r="G352" s="1">
        <f t="shared" si="140"/>
        <v>1.5</v>
      </c>
    </row>
    <row r="353" spans="1:7" outlineLevel="2" x14ac:dyDescent="0.25">
      <c r="A353" s="33" t="s">
        <v>145</v>
      </c>
      <c r="B353" s="30" t="s">
        <v>89</v>
      </c>
      <c r="C353" s="30" t="s">
        <v>136</v>
      </c>
      <c r="D353" s="24"/>
      <c r="E353" s="1">
        <f>E354</f>
        <v>1.5</v>
      </c>
      <c r="F353" s="1">
        <f t="shared" si="140"/>
        <v>1.5</v>
      </c>
      <c r="G353" s="1">
        <f t="shared" si="140"/>
        <v>1.5</v>
      </c>
    </row>
    <row r="354" spans="1:7" ht="110.25" outlineLevel="2" x14ac:dyDescent="0.25">
      <c r="A354" s="29" t="s">
        <v>403</v>
      </c>
      <c r="B354" s="23" t="s">
        <v>89</v>
      </c>
      <c r="C354" s="23" t="s">
        <v>404</v>
      </c>
      <c r="D354" s="24"/>
      <c r="E354" s="1">
        <f>E355</f>
        <v>1.5</v>
      </c>
      <c r="F354" s="1">
        <f t="shared" si="140"/>
        <v>1.5</v>
      </c>
      <c r="G354" s="1">
        <f t="shared" si="140"/>
        <v>1.5</v>
      </c>
    </row>
    <row r="355" spans="1:7" ht="173.25" outlineLevel="2" x14ac:dyDescent="0.25">
      <c r="A355" s="2" t="s">
        <v>441</v>
      </c>
      <c r="B355" s="23" t="s">
        <v>89</v>
      </c>
      <c r="C355" s="23" t="s">
        <v>442</v>
      </c>
      <c r="D355" s="24"/>
      <c r="E355" s="1">
        <f>E356</f>
        <v>1.5</v>
      </c>
      <c r="F355" s="1">
        <f t="shared" si="140"/>
        <v>1.5</v>
      </c>
      <c r="G355" s="1">
        <f t="shared" si="140"/>
        <v>1.5</v>
      </c>
    </row>
    <row r="356" spans="1:7" ht="31.5" outlineLevel="2" x14ac:dyDescent="0.25">
      <c r="A356" s="50" t="s">
        <v>76</v>
      </c>
      <c r="B356" s="23" t="s">
        <v>89</v>
      </c>
      <c r="C356" s="23" t="s">
        <v>442</v>
      </c>
      <c r="D356" s="24">
        <v>200</v>
      </c>
      <c r="E356" s="1">
        <f>1.8-0.3</f>
        <v>1.5</v>
      </c>
      <c r="F356" s="1">
        <f>1.8-0.3</f>
        <v>1.5</v>
      </c>
      <c r="G356" s="1">
        <f>1.8-0.3</f>
        <v>1.5</v>
      </c>
    </row>
    <row r="357" spans="1:7" ht="78.75" outlineLevel="2" x14ac:dyDescent="0.25">
      <c r="A357" s="40" t="s">
        <v>349</v>
      </c>
      <c r="B357" s="18" t="s">
        <v>89</v>
      </c>
      <c r="C357" s="18" t="s">
        <v>54</v>
      </c>
      <c r="D357" s="9"/>
      <c r="E357" s="1">
        <f>E358</f>
        <v>90878.500000000015</v>
      </c>
      <c r="F357" s="1">
        <f t="shared" ref="F357:G359" si="141">F358</f>
        <v>82051.200000000012</v>
      </c>
      <c r="G357" s="1">
        <f t="shared" si="141"/>
        <v>82051.200000000012</v>
      </c>
    </row>
    <row r="358" spans="1:7" outlineLevel="2" x14ac:dyDescent="0.25">
      <c r="A358" s="33" t="s">
        <v>145</v>
      </c>
      <c r="B358" s="18" t="s">
        <v>89</v>
      </c>
      <c r="C358" s="18" t="s">
        <v>83</v>
      </c>
      <c r="D358" s="9"/>
      <c r="E358" s="1">
        <f>E359</f>
        <v>90878.500000000015</v>
      </c>
      <c r="F358" s="1">
        <f t="shared" si="141"/>
        <v>82051.200000000012</v>
      </c>
      <c r="G358" s="1">
        <f t="shared" si="141"/>
        <v>82051.200000000012</v>
      </c>
    </row>
    <row r="359" spans="1:7" ht="78.75" outlineLevel="2" x14ac:dyDescent="0.25">
      <c r="A359" s="33" t="s">
        <v>443</v>
      </c>
      <c r="B359" s="18" t="s">
        <v>89</v>
      </c>
      <c r="C359" s="18" t="s">
        <v>444</v>
      </c>
      <c r="D359" s="9"/>
      <c r="E359" s="1">
        <f>E360</f>
        <v>90878.500000000015</v>
      </c>
      <c r="F359" s="1">
        <f t="shared" si="141"/>
        <v>82051.200000000012</v>
      </c>
      <c r="G359" s="1">
        <f t="shared" si="141"/>
        <v>82051.200000000012</v>
      </c>
    </row>
    <row r="360" spans="1:7" ht="47.25" outlineLevel="2" x14ac:dyDescent="0.25">
      <c r="A360" s="8" t="s">
        <v>160</v>
      </c>
      <c r="B360" s="18" t="s">
        <v>89</v>
      </c>
      <c r="C360" s="18" t="s">
        <v>445</v>
      </c>
      <c r="D360" s="9"/>
      <c r="E360" s="1">
        <f>SUM(E361:E363)</f>
        <v>90878.500000000015</v>
      </c>
      <c r="F360" s="1">
        <f t="shared" ref="F360:G360" si="142">F361+F362</f>
        <v>82051.200000000012</v>
      </c>
      <c r="G360" s="1">
        <f t="shared" si="142"/>
        <v>82051.200000000012</v>
      </c>
    </row>
    <row r="361" spans="1:7" ht="94.5" outlineLevel="2" x14ac:dyDescent="0.25">
      <c r="A361" s="20" t="s">
        <v>13</v>
      </c>
      <c r="B361" s="18" t="s">
        <v>89</v>
      </c>
      <c r="C361" s="18" t="s">
        <v>445</v>
      </c>
      <c r="D361" s="9">
        <v>100</v>
      </c>
      <c r="E361" s="1">
        <f>77726.5+8680.6+1385.1</f>
        <v>87792.200000000012</v>
      </c>
      <c r="F361" s="1">
        <v>80320.600000000006</v>
      </c>
      <c r="G361" s="1">
        <v>80320.600000000006</v>
      </c>
    </row>
    <row r="362" spans="1:7" ht="31.5" outlineLevel="2" x14ac:dyDescent="0.25">
      <c r="A362" s="20" t="s">
        <v>76</v>
      </c>
      <c r="B362" s="18" t="s">
        <v>89</v>
      </c>
      <c r="C362" s="18" t="s">
        <v>445</v>
      </c>
      <c r="D362" s="9">
        <v>200</v>
      </c>
      <c r="E362" s="1">
        <f>2117.9+290.9</f>
        <v>2408.8000000000002</v>
      </c>
      <c r="F362" s="1">
        <v>1730.6</v>
      </c>
      <c r="G362" s="1">
        <v>1730.6</v>
      </c>
    </row>
    <row r="363" spans="1:7" ht="31.5" outlineLevel="2" x14ac:dyDescent="0.25">
      <c r="A363" s="17" t="s">
        <v>20</v>
      </c>
      <c r="B363" s="18" t="s">
        <v>89</v>
      </c>
      <c r="C363" s="18" t="s">
        <v>445</v>
      </c>
      <c r="D363" s="18" t="s">
        <v>565</v>
      </c>
      <c r="E363" s="1">
        <v>677.5</v>
      </c>
      <c r="F363" s="1">
        <v>0</v>
      </c>
      <c r="G363" s="1">
        <v>0</v>
      </c>
    </row>
    <row r="364" spans="1:7" ht="78.75" outlineLevel="2" x14ac:dyDescent="0.25">
      <c r="A364" s="33" t="s">
        <v>333</v>
      </c>
      <c r="B364" s="23" t="s">
        <v>89</v>
      </c>
      <c r="C364" s="23" t="s">
        <v>334</v>
      </c>
      <c r="D364" s="24"/>
      <c r="E364" s="1">
        <f>E365</f>
        <v>121925.5</v>
      </c>
      <c r="F364" s="1">
        <f t="shared" ref="F364:G366" si="143">F365</f>
        <v>125563.19999999998</v>
      </c>
      <c r="G364" s="1">
        <f t="shared" si="143"/>
        <v>129517.3</v>
      </c>
    </row>
    <row r="365" spans="1:7" outlineLevel="2" x14ac:dyDescent="0.25">
      <c r="A365" s="33" t="s">
        <v>145</v>
      </c>
      <c r="B365" s="30" t="s">
        <v>89</v>
      </c>
      <c r="C365" s="30" t="s">
        <v>446</v>
      </c>
      <c r="D365" s="24"/>
      <c r="E365" s="1">
        <f>E366</f>
        <v>121925.5</v>
      </c>
      <c r="F365" s="1">
        <f t="shared" si="143"/>
        <v>125563.19999999998</v>
      </c>
      <c r="G365" s="1">
        <f t="shared" si="143"/>
        <v>129517.3</v>
      </c>
    </row>
    <row r="366" spans="1:7" ht="63" outlineLevel="2" x14ac:dyDescent="0.25">
      <c r="A366" s="33" t="s">
        <v>447</v>
      </c>
      <c r="B366" s="23" t="s">
        <v>89</v>
      </c>
      <c r="C366" s="30" t="s">
        <v>448</v>
      </c>
      <c r="D366" s="24"/>
      <c r="E366" s="1">
        <f>E367</f>
        <v>121925.5</v>
      </c>
      <c r="F366" s="1">
        <f t="shared" si="143"/>
        <v>125563.19999999998</v>
      </c>
      <c r="G366" s="1">
        <f t="shared" si="143"/>
        <v>129517.3</v>
      </c>
    </row>
    <row r="367" spans="1:7" ht="47.25" outlineLevel="2" x14ac:dyDescent="0.25">
      <c r="A367" s="51" t="s">
        <v>152</v>
      </c>
      <c r="B367" s="23" t="s">
        <v>89</v>
      </c>
      <c r="C367" s="23" t="s">
        <v>449</v>
      </c>
      <c r="D367" s="24"/>
      <c r="E367" s="1">
        <f>E368+E369+E370</f>
        <v>121925.5</v>
      </c>
      <c r="F367" s="1">
        <f t="shared" ref="F367:G367" si="144">F368+F369+F370</f>
        <v>125563.19999999998</v>
      </c>
      <c r="G367" s="1">
        <f t="shared" si="144"/>
        <v>129517.3</v>
      </c>
    </row>
    <row r="368" spans="1:7" ht="94.5" outlineLevel="2" x14ac:dyDescent="0.25">
      <c r="A368" s="51" t="s">
        <v>75</v>
      </c>
      <c r="B368" s="23" t="s">
        <v>89</v>
      </c>
      <c r="C368" s="23" t="s">
        <v>449</v>
      </c>
      <c r="D368" s="24">
        <v>100</v>
      </c>
      <c r="E368" s="1">
        <f>72196.8+21699.1</f>
        <v>93895.9</v>
      </c>
      <c r="F368" s="1">
        <f>75084.7+22567.1</f>
        <v>97651.799999999988</v>
      </c>
      <c r="G368" s="1">
        <f>78088.1+23469.8</f>
        <v>101557.90000000001</v>
      </c>
    </row>
    <row r="369" spans="1:7" ht="31.5" outlineLevel="2" x14ac:dyDescent="0.25">
      <c r="A369" s="17" t="s">
        <v>76</v>
      </c>
      <c r="B369" s="23" t="s">
        <v>89</v>
      </c>
      <c r="C369" s="23" t="s">
        <v>449</v>
      </c>
      <c r="D369" s="24">
        <v>200</v>
      </c>
      <c r="E369" s="1">
        <v>4391.6000000000004</v>
      </c>
      <c r="F369" s="1">
        <v>4273.3999999999996</v>
      </c>
      <c r="G369" s="1">
        <v>4321.3999999999996</v>
      </c>
    </row>
    <row r="370" spans="1:7" outlineLevel="2" x14ac:dyDescent="0.25">
      <c r="A370" s="22" t="s">
        <v>33</v>
      </c>
      <c r="B370" s="23" t="s">
        <v>89</v>
      </c>
      <c r="C370" s="23" t="s">
        <v>449</v>
      </c>
      <c r="D370" s="24">
        <v>800</v>
      </c>
      <c r="E370" s="1">
        <v>23638</v>
      </c>
      <c r="F370" s="1">
        <v>23638</v>
      </c>
      <c r="G370" s="1">
        <v>23638</v>
      </c>
    </row>
    <row r="371" spans="1:7" x14ac:dyDescent="0.25">
      <c r="A371" s="13" t="s">
        <v>450</v>
      </c>
      <c r="B371" s="14" t="s">
        <v>451</v>
      </c>
      <c r="C371" s="14"/>
      <c r="D371" s="15"/>
      <c r="E371" s="16">
        <f t="shared" ref="E371:G376" si="145">E372</f>
        <v>24444.800000000003</v>
      </c>
      <c r="F371" s="16">
        <f t="shared" si="145"/>
        <v>20582.900000000001</v>
      </c>
      <c r="G371" s="16">
        <f t="shared" si="145"/>
        <v>20582.900000000001</v>
      </c>
    </row>
    <row r="372" spans="1:7" ht="31.5" outlineLevel="1" x14ac:dyDescent="0.25">
      <c r="A372" s="20" t="s">
        <v>452</v>
      </c>
      <c r="B372" s="18" t="s">
        <v>453</v>
      </c>
      <c r="C372" s="18"/>
      <c r="D372" s="9"/>
      <c r="E372" s="1">
        <f t="shared" si="145"/>
        <v>24444.800000000003</v>
      </c>
      <c r="F372" s="1">
        <f t="shared" si="145"/>
        <v>20582.900000000001</v>
      </c>
      <c r="G372" s="1">
        <f t="shared" si="145"/>
        <v>20582.900000000001</v>
      </c>
    </row>
    <row r="373" spans="1:7" ht="47.25" outlineLevel="2" x14ac:dyDescent="0.25">
      <c r="A373" s="33" t="s">
        <v>372</v>
      </c>
      <c r="B373" s="18" t="s">
        <v>453</v>
      </c>
      <c r="C373" s="18" t="s">
        <v>373</v>
      </c>
      <c r="D373" s="9"/>
      <c r="E373" s="1">
        <f t="shared" si="145"/>
        <v>24444.800000000003</v>
      </c>
      <c r="F373" s="1">
        <f t="shared" si="145"/>
        <v>20582.900000000001</v>
      </c>
      <c r="G373" s="1">
        <f t="shared" si="145"/>
        <v>20582.900000000001</v>
      </c>
    </row>
    <row r="374" spans="1:7" outlineLevel="2" x14ac:dyDescent="0.25">
      <c r="A374" s="33" t="s">
        <v>145</v>
      </c>
      <c r="B374" s="30" t="s">
        <v>453</v>
      </c>
      <c r="C374" s="30" t="s">
        <v>410</v>
      </c>
      <c r="D374" s="24"/>
      <c r="E374" s="1">
        <f t="shared" si="145"/>
        <v>24444.800000000003</v>
      </c>
      <c r="F374" s="1">
        <f t="shared" si="145"/>
        <v>20582.900000000001</v>
      </c>
      <c r="G374" s="1">
        <f t="shared" si="145"/>
        <v>20582.900000000001</v>
      </c>
    </row>
    <row r="375" spans="1:7" ht="47.25" outlineLevel="2" x14ac:dyDescent="0.25">
      <c r="A375" s="33" t="s">
        <v>411</v>
      </c>
      <c r="B375" s="30" t="s">
        <v>453</v>
      </c>
      <c r="C375" s="30" t="s">
        <v>412</v>
      </c>
      <c r="D375" s="24"/>
      <c r="E375" s="1">
        <f t="shared" si="145"/>
        <v>24444.800000000003</v>
      </c>
      <c r="F375" s="1">
        <f t="shared" si="145"/>
        <v>20582.900000000001</v>
      </c>
      <c r="G375" s="1">
        <f t="shared" si="145"/>
        <v>20582.900000000001</v>
      </c>
    </row>
    <row r="376" spans="1:7" outlineLevel="2" x14ac:dyDescent="0.25">
      <c r="A376" s="40" t="s">
        <v>454</v>
      </c>
      <c r="B376" s="23" t="s">
        <v>453</v>
      </c>
      <c r="C376" s="23" t="s">
        <v>455</v>
      </c>
      <c r="D376" s="9"/>
      <c r="E376" s="1">
        <f t="shared" si="145"/>
        <v>24444.800000000003</v>
      </c>
      <c r="F376" s="1">
        <f t="shared" si="145"/>
        <v>20582.900000000001</v>
      </c>
      <c r="G376" s="1">
        <f t="shared" si="145"/>
        <v>20582.900000000001</v>
      </c>
    </row>
    <row r="377" spans="1:7" ht="47.25" outlineLevel="2" x14ac:dyDescent="0.25">
      <c r="A377" s="20" t="s">
        <v>94</v>
      </c>
      <c r="B377" s="23" t="s">
        <v>453</v>
      </c>
      <c r="C377" s="23" t="s">
        <v>455</v>
      </c>
      <c r="D377" s="9">
        <v>600</v>
      </c>
      <c r="E377" s="1">
        <f>20582.9+3861.9</f>
        <v>24444.800000000003</v>
      </c>
      <c r="F377" s="1">
        <v>20582.900000000001</v>
      </c>
      <c r="G377" s="1">
        <v>20582.900000000001</v>
      </c>
    </row>
    <row r="378" spans="1:7" x14ac:dyDescent="0.25">
      <c r="A378" s="13" t="s">
        <v>90</v>
      </c>
      <c r="B378" s="14" t="s">
        <v>91</v>
      </c>
      <c r="C378" s="38"/>
      <c r="D378" s="16"/>
      <c r="E378" s="16">
        <f>E379+E399+E462+E478+E496</f>
        <v>6195527.3999999985</v>
      </c>
      <c r="F378" s="16">
        <f>F379+F399+F462+F478+F496</f>
        <v>6263173.8999999994</v>
      </c>
      <c r="G378" s="16">
        <f>G379+G399+G462+G478+G496</f>
        <v>6599971.3999999994</v>
      </c>
    </row>
    <row r="379" spans="1:7" outlineLevel="1" x14ac:dyDescent="0.25">
      <c r="A379" s="20" t="s">
        <v>92</v>
      </c>
      <c r="B379" s="18" t="s">
        <v>93</v>
      </c>
      <c r="C379" s="18"/>
      <c r="D379" s="9"/>
      <c r="E379" s="42">
        <f>E380</f>
        <v>2081817.9999999998</v>
      </c>
      <c r="F379" s="42">
        <f t="shared" ref="F379:G379" si="146">F380</f>
        <v>2167504.1999999997</v>
      </c>
      <c r="G379" s="42">
        <f t="shared" si="146"/>
        <v>2179174.4999999995</v>
      </c>
    </row>
    <row r="380" spans="1:7" ht="31.5" outlineLevel="2" x14ac:dyDescent="0.25">
      <c r="A380" s="20" t="s">
        <v>210</v>
      </c>
      <c r="B380" s="18" t="s">
        <v>93</v>
      </c>
      <c r="C380" s="18" t="s">
        <v>211</v>
      </c>
      <c r="D380" s="9"/>
      <c r="E380" s="42">
        <f>E381+E387</f>
        <v>2081817.9999999998</v>
      </c>
      <c r="F380" s="42">
        <f t="shared" ref="F380:G380" si="147">F381+F387</f>
        <v>2167504.1999999997</v>
      </c>
      <c r="G380" s="42">
        <f t="shared" si="147"/>
        <v>2179174.4999999995</v>
      </c>
    </row>
    <row r="381" spans="1:7" outlineLevel="2" x14ac:dyDescent="0.25">
      <c r="A381" s="20" t="s">
        <v>156</v>
      </c>
      <c r="B381" s="18" t="s">
        <v>93</v>
      </c>
      <c r="C381" s="18" t="s">
        <v>212</v>
      </c>
      <c r="D381" s="9"/>
      <c r="E381" s="42">
        <f>E382</f>
        <v>4000</v>
      </c>
      <c r="F381" s="42">
        <f t="shared" ref="F381:G381" si="148">F382</f>
        <v>16606.8</v>
      </c>
      <c r="G381" s="42">
        <f t="shared" si="148"/>
        <v>18845.8</v>
      </c>
    </row>
    <row r="382" spans="1:7" ht="47.25" outlineLevel="2" x14ac:dyDescent="0.25">
      <c r="A382" s="33" t="s">
        <v>213</v>
      </c>
      <c r="B382" s="18" t="s">
        <v>93</v>
      </c>
      <c r="C382" s="18" t="s">
        <v>214</v>
      </c>
      <c r="D382" s="9"/>
      <c r="E382" s="42">
        <f>E383+E385</f>
        <v>4000</v>
      </c>
      <c r="F382" s="42">
        <f t="shared" ref="F382:G382" si="149">F383+F385</f>
        <v>16606.8</v>
      </c>
      <c r="G382" s="42">
        <f t="shared" si="149"/>
        <v>18845.8</v>
      </c>
    </row>
    <row r="383" spans="1:7" ht="31.5" outlineLevel="2" x14ac:dyDescent="0.25">
      <c r="A383" s="17" t="s">
        <v>215</v>
      </c>
      <c r="B383" s="18" t="s">
        <v>93</v>
      </c>
      <c r="C383" s="18" t="s">
        <v>216</v>
      </c>
      <c r="D383" s="18"/>
      <c r="E383" s="42">
        <f>E384</f>
        <v>4000</v>
      </c>
      <c r="F383" s="42">
        <f t="shared" ref="F383:G383" si="150">F384</f>
        <v>0</v>
      </c>
      <c r="G383" s="42">
        <f t="shared" si="150"/>
        <v>0</v>
      </c>
    </row>
    <row r="384" spans="1:7" ht="47.25" outlineLevel="2" x14ac:dyDescent="0.25">
      <c r="A384" s="17" t="s">
        <v>94</v>
      </c>
      <c r="B384" s="18" t="s">
        <v>93</v>
      </c>
      <c r="C384" s="18" t="s">
        <v>216</v>
      </c>
      <c r="D384" s="18" t="s">
        <v>95</v>
      </c>
      <c r="E384" s="42">
        <f>606.4+9500-366.4-5740</f>
        <v>4000</v>
      </c>
      <c r="F384" s="1">
        <v>0</v>
      </c>
      <c r="G384" s="1">
        <v>0</v>
      </c>
    </row>
    <row r="385" spans="1:7" ht="47.25" outlineLevel="2" x14ac:dyDescent="0.25">
      <c r="A385" s="17" t="s">
        <v>639</v>
      </c>
      <c r="B385" s="55" t="s">
        <v>93</v>
      </c>
      <c r="C385" s="18" t="s">
        <v>640</v>
      </c>
      <c r="D385" s="18"/>
      <c r="E385" s="42">
        <v>0</v>
      </c>
      <c r="F385" s="1">
        <v>16606.8</v>
      </c>
      <c r="G385" s="1">
        <v>18845.8</v>
      </c>
    </row>
    <row r="386" spans="1:7" ht="47.25" outlineLevel="2" x14ac:dyDescent="0.25">
      <c r="A386" s="17" t="s">
        <v>94</v>
      </c>
      <c r="B386" s="18" t="s">
        <v>93</v>
      </c>
      <c r="C386" s="18" t="s">
        <v>640</v>
      </c>
      <c r="D386" s="55" t="s">
        <v>95</v>
      </c>
      <c r="E386" s="42">
        <v>0</v>
      </c>
      <c r="F386" s="1">
        <v>16606.8</v>
      </c>
      <c r="G386" s="1">
        <v>18845.8</v>
      </c>
    </row>
    <row r="387" spans="1:7" outlineLevel="2" x14ac:dyDescent="0.25">
      <c r="A387" s="20" t="s">
        <v>145</v>
      </c>
      <c r="B387" s="18" t="s">
        <v>93</v>
      </c>
      <c r="C387" s="18" t="s">
        <v>217</v>
      </c>
      <c r="D387" s="9"/>
      <c r="E387" s="42">
        <f>E388+E396</f>
        <v>2077817.9999999998</v>
      </c>
      <c r="F387" s="42">
        <f t="shared" ref="F387:G387" si="151">F388+F396</f>
        <v>2150897.4</v>
      </c>
      <c r="G387" s="42">
        <f t="shared" si="151"/>
        <v>2160328.6999999997</v>
      </c>
    </row>
    <row r="388" spans="1:7" ht="63" outlineLevel="2" x14ac:dyDescent="0.25">
      <c r="A388" s="34" t="s">
        <v>500</v>
      </c>
      <c r="B388" s="18" t="s">
        <v>93</v>
      </c>
      <c r="C388" s="18" t="s">
        <v>218</v>
      </c>
      <c r="D388" s="9"/>
      <c r="E388" s="42">
        <f>E389+E391+E394</f>
        <v>2076442.0999999999</v>
      </c>
      <c r="F388" s="42">
        <f t="shared" ref="F388:G388" si="152">F389+F391+F394</f>
        <v>2149521.5</v>
      </c>
      <c r="G388" s="42">
        <f t="shared" si="152"/>
        <v>2158952.7999999998</v>
      </c>
    </row>
    <row r="389" spans="1:7" ht="47.25" outlineLevel="2" x14ac:dyDescent="0.25">
      <c r="A389" s="8" t="s">
        <v>152</v>
      </c>
      <c r="B389" s="18" t="s">
        <v>93</v>
      </c>
      <c r="C389" s="18" t="s">
        <v>219</v>
      </c>
      <c r="D389" s="9"/>
      <c r="E389" s="42">
        <f>E390</f>
        <v>890080.5</v>
      </c>
      <c r="F389" s="42">
        <f t="shared" ref="F389:G389" si="153">F390</f>
        <v>897966.2</v>
      </c>
      <c r="G389" s="42">
        <f t="shared" si="153"/>
        <v>907397.5</v>
      </c>
    </row>
    <row r="390" spans="1:7" ht="47.25" outlineLevel="2" x14ac:dyDescent="0.25">
      <c r="A390" s="20" t="s">
        <v>94</v>
      </c>
      <c r="B390" s="18" t="s">
        <v>93</v>
      </c>
      <c r="C390" s="18" t="s">
        <v>219</v>
      </c>
      <c r="D390" s="9">
        <v>600</v>
      </c>
      <c r="E390" s="42">
        <f>888230.5+1850</f>
        <v>890080.5</v>
      </c>
      <c r="F390" s="1">
        <v>897966.2</v>
      </c>
      <c r="G390" s="1">
        <v>907397.5</v>
      </c>
    </row>
    <row r="391" spans="1:7" ht="78.75" outlineLevel="2" x14ac:dyDescent="0.25">
      <c r="A391" s="33" t="s">
        <v>220</v>
      </c>
      <c r="B391" s="18" t="s">
        <v>93</v>
      </c>
      <c r="C391" s="18" t="s">
        <v>221</v>
      </c>
      <c r="D391" s="9"/>
      <c r="E391" s="42">
        <f>E392+E393</f>
        <v>17791.7</v>
      </c>
      <c r="F391" s="42">
        <f t="shared" ref="F391:G391" si="154">F392+F393</f>
        <v>17791.7</v>
      </c>
      <c r="G391" s="42">
        <f t="shared" si="154"/>
        <v>17791.7</v>
      </c>
    </row>
    <row r="392" spans="1:7" ht="47.25" outlineLevel="2" x14ac:dyDescent="0.25">
      <c r="A392" s="20" t="s">
        <v>94</v>
      </c>
      <c r="B392" s="18" t="s">
        <v>93</v>
      </c>
      <c r="C392" s="18" t="s">
        <v>221</v>
      </c>
      <c r="D392" s="9">
        <v>600</v>
      </c>
      <c r="E392" s="42">
        <f>1152+8416.8-2745-1323.8</f>
        <v>5499.9999999999991</v>
      </c>
      <c r="F392" s="1">
        <v>8160.5</v>
      </c>
      <c r="G392" s="1">
        <v>8160.5</v>
      </c>
    </row>
    <row r="393" spans="1:7" outlineLevel="2" x14ac:dyDescent="0.25">
      <c r="A393" s="17" t="s">
        <v>33</v>
      </c>
      <c r="B393" s="18" t="s">
        <v>93</v>
      </c>
      <c r="C393" s="18" t="s">
        <v>221</v>
      </c>
      <c r="D393" s="9">
        <v>800</v>
      </c>
      <c r="E393" s="42">
        <f>9631.2+2660.5</f>
        <v>12291.7</v>
      </c>
      <c r="F393" s="1">
        <v>9631.2000000000007</v>
      </c>
      <c r="G393" s="1">
        <v>9631.2000000000007</v>
      </c>
    </row>
    <row r="394" spans="1:7" ht="204.75" outlineLevel="2" x14ac:dyDescent="0.25">
      <c r="A394" s="33" t="s">
        <v>222</v>
      </c>
      <c r="B394" s="18" t="s">
        <v>93</v>
      </c>
      <c r="C394" s="18" t="s">
        <v>223</v>
      </c>
      <c r="D394" s="9"/>
      <c r="E394" s="42">
        <f t="shared" ref="E394:G394" si="155">E395</f>
        <v>1168569.8999999999</v>
      </c>
      <c r="F394" s="42">
        <f t="shared" si="155"/>
        <v>1233763.6000000001</v>
      </c>
      <c r="G394" s="42">
        <f t="shared" si="155"/>
        <v>1233763.6000000001</v>
      </c>
    </row>
    <row r="395" spans="1:7" ht="47.25" outlineLevel="2" x14ac:dyDescent="0.25">
      <c r="A395" s="20" t="s">
        <v>94</v>
      </c>
      <c r="B395" s="18" t="s">
        <v>93</v>
      </c>
      <c r="C395" s="18" t="s">
        <v>223</v>
      </c>
      <c r="D395" s="18" t="s">
        <v>95</v>
      </c>
      <c r="E395" s="42">
        <f>1038369.9+130200</f>
        <v>1168569.8999999999</v>
      </c>
      <c r="F395" s="1">
        <v>1233763.6000000001</v>
      </c>
      <c r="G395" s="1">
        <v>1233763.6000000001</v>
      </c>
    </row>
    <row r="396" spans="1:7" ht="63" outlineLevel="2" x14ac:dyDescent="0.25">
      <c r="A396" s="33" t="s">
        <v>494</v>
      </c>
      <c r="B396" s="18" t="s">
        <v>93</v>
      </c>
      <c r="C396" s="18" t="s">
        <v>224</v>
      </c>
      <c r="D396" s="18"/>
      <c r="E396" s="42">
        <f>E397</f>
        <v>1375.9</v>
      </c>
      <c r="F396" s="42">
        <f t="shared" ref="F396:G397" si="156">F397</f>
        <v>1375.9</v>
      </c>
      <c r="G396" s="42">
        <f t="shared" si="156"/>
        <v>1375.9</v>
      </c>
    </row>
    <row r="397" spans="1:7" ht="47.25" outlineLevel="2" x14ac:dyDescent="0.25">
      <c r="A397" s="56" t="s">
        <v>225</v>
      </c>
      <c r="B397" s="57" t="s">
        <v>93</v>
      </c>
      <c r="C397" s="58" t="s">
        <v>226</v>
      </c>
      <c r="D397" s="57"/>
      <c r="E397" s="42">
        <f>E398</f>
        <v>1375.9</v>
      </c>
      <c r="F397" s="42">
        <f t="shared" si="156"/>
        <v>1375.9</v>
      </c>
      <c r="G397" s="42">
        <f t="shared" si="156"/>
        <v>1375.9</v>
      </c>
    </row>
    <row r="398" spans="1:7" ht="47.25" outlineLevel="2" x14ac:dyDescent="0.25">
      <c r="A398" s="20" t="s">
        <v>94</v>
      </c>
      <c r="B398" s="57" t="s">
        <v>93</v>
      </c>
      <c r="C398" s="58" t="s">
        <v>226</v>
      </c>
      <c r="D398" s="57">
        <v>600</v>
      </c>
      <c r="E398" s="42">
        <v>1375.9</v>
      </c>
      <c r="F398" s="1">
        <v>1375.9</v>
      </c>
      <c r="G398" s="1">
        <v>1375.9</v>
      </c>
    </row>
    <row r="399" spans="1:7" outlineLevel="1" x14ac:dyDescent="0.25">
      <c r="A399" s="20" t="s">
        <v>227</v>
      </c>
      <c r="B399" s="18" t="s">
        <v>228</v>
      </c>
      <c r="C399" s="18"/>
      <c r="D399" s="9"/>
      <c r="E399" s="42">
        <f>E400</f>
        <v>3219380.9999999995</v>
      </c>
      <c r="F399" s="42">
        <f t="shared" ref="F399:G399" si="157">F400</f>
        <v>3347450.8999999994</v>
      </c>
      <c r="G399" s="42">
        <f t="shared" si="157"/>
        <v>3648670.5</v>
      </c>
    </row>
    <row r="400" spans="1:7" ht="31.5" outlineLevel="2" x14ac:dyDescent="0.25">
      <c r="A400" s="20" t="s">
        <v>210</v>
      </c>
      <c r="B400" s="18" t="s">
        <v>228</v>
      </c>
      <c r="C400" s="18" t="s">
        <v>211</v>
      </c>
      <c r="D400" s="9"/>
      <c r="E400" s="42">
        <f>E401+E423+E413</f>
        <v>3219380.9999999995</v>
      </c>
      <c r="F400" s="42">
        <f t="shared" ref="F400:G400" si="158">F401+F423+F413</f>
        <v>3347450.8999999994</v>
      </c>
      <c r="G400" s="42">
        <f t="shared" si="158"/>
        <v>3648670.5</v>
      </c>
    </row>
    <row r="401" spans="1:9" outlineLevel="2" x14ac:dyDescent="0.25">
      <c r="A401" s="20" t="s">
        <v>229</v>
      </c>
      <c r="B401" s="18" t="s">
        <v>228</v>
      </c>
      <c r="C401" s="18" t="s">
        <v>230</v>
      </c>
      <c r="D401" s="9"/>
      <c r="E401" s="42">
        <f>E402+E406</f>
        <v>137093.6</v>
      </c>
      <c r="F401" s="42">
        <f t="shared" ref="F401:G401" si="159">F402+F406</f>
        <v>156407.1</v>
      </c>
      <c r="G401" s="42">
        <f t="shared" si="159"/>
        <v>254952.30000000002</v>
      </c>
    </row>
    <row r="402" spans="1:9" outlineLevel="2" x14ac:dyDescent="0.25">
      <c r="A402" s="8" t="s">
        <v>641</v>
      </c>
      <c r="B402" s="18" t="s">
        <v>228</v>
      </c>
      <c r="C402" s="59" t="s">
        <v>644</v>
      </c>
      <c r="D402" s="9"/>
      <c r="E402" s="42">
        <f>E403</f>
        <v>0</v>
      </c>
      <c r="F402" s="42">
        <f t="shared" ref="F402:G402" si="160">F403</f>
        <v>19313.5</v>
      </c>
      <c r="G402" s="42">
        <f t="shared" si="160"/>
        <v>117858.70000000001</v>
      </c>
    </row>
    <row r="403" spans="1:9" outlineLevel="2" x14ac:dyDescent="0.25">
      <c r="A403" s="60" t="s">
        <v>641</v>
      </c>
      <c r="B403" s="55" t="s">
        <v>228</v>
      </c>
      <c r="C403" s="18" t="s">
        <v>642</v>
      </c>
      <c r="D403" s="9"/>
      <c r="E403" s="42">
        <f>E404</f>
        <v>0</v>
      </c>
      <c r="F403" s="1">
        <f>F404</f>
        <v>19313.5</v>
      </c>
      <c r="G403" s="1">
        <f>G404</f>
        <v>117858.70000000001</v>
      </c>
    </row>
    <row r="404" spans="1:9" ht="78.75" outlineLevel="2" x14ac:dyDescent="0.25">
      <c r="A404" s="60" t="s">
        <v>643</v>
      </c>
      <c r="B404" s="55" t="s">
        <v>228</v>
      </c>
      <c r="C404" s="55" t="s">
        <v>642</v>
      </c>
      <c r="D404" s="9"/>
      <c r="E404" s="42"/>
      <c r="F404" s="1">
        <v>19313.5</v>
      </c>
      <c r="G404" s="1">
        <v>117858.70000000001</v>
      </c>
    </row>
    <row r="405" spans="1:9" ht="47.25" outlineLevel="2" x14ac:dyDescent="0.25">
      <c r="A405" s="8" t="s">
        <v>94</v>
      </c>
      <c r="B405" s="18" t="s">
        <v>228</v>
      </c>
      <c r="C405" s="55" t="s">
        <v>642</v>
      </c>
      <c r="D405" s="9">
        <v>600</v>
      </c>
      <c r="E405" s="42">
        <v>0</v>
      </c>
      <c r="F405" s="1">
        <v>19313.5</v>
      </c>
      <c r="G405" s="1">
        <v>117858.70000000001</v>
      </c>
    </row>
    <row r="406" spans="1:9" ht="31.5" outlineLevel="2" x14ac:dyDescent="0.25">
      <c r="A406" s="20" t="s">
        <v>627</v>
      </c>
      <c r="B406" s="18" t="s">
        <v>228</v>
      </c>
      <c r="C406" s="18" t="s">
        <v>628</v>
      </c>
      <c r="D406" s="9"/>
      <c r="E406" s="42">
        <f>E407+E409+E411</f>
        <v>137093.6</v>
      </c>
      <c r="F406" s="42">
        <f t="shared" ref="F406:G406" si="161">F407+F409+F411</f>
        <v>137093.6</v>
      </c>
      <c r="G406" s="42">
        <f t="shared" si="161"/>
        <v>137093.6</v>
      </c>
    </row>
    <row r="407" spans="1:9" ht="189" outlineLevel="2" x14ac:dyDescent="0.25">
      <c r="A407" s="60" t="s">
        <v>623</v>
      </c>
      <c r="B407" s="18" t="s">
        <v>228</v>
      </c>
      <c r="C407" s="18" t="s">
        <v>624</v>
      </c>
      <c r="D407" s="18"/>
      <c r="E407" s="42">
        <f>E408</f>
        <v>2460.8000000000002</v>
      </c>
      <c r="F407" s="42">
        <f t="shared" ref="F407:G407" si="162">F408</f>
        <v>2460.8000000000002</v>
      </c>
      <c r="G407" s="42">
        <f t="shared" si="162"/>
        <v>2460.8000000000002</v>
      </c>
    </row>
    <row r="408" spans="1:9" ht="47.25" outlineLevel="2" x14ac:dyDescent="0.25">
      <c r="A408" s="17" t="s">
        <v>94</v>
      </c>
      <c r="B408" s="18" t="s">
        <v>228</v>
      </c>
      <c r="C408" s="18" t="s">
        <v>624</v>
      </c>
      <c r="D408" s="18" t="s">
        <v>95</v>
      </c>
      <c r="E408" s="42">
        <v>2460.8000000000002</v>
      </c>
      <c r="F408" s="1">
        <v>2460.8000000000002</v>
      </c>
      <c r="G408" s="1">
        <v>2460.8000000000002</v>
      </c>
    </row>
    <row r="409" spans="1:9" ht="78.75" outlineLevel="2" x14ac:dyDescent="0.25">
      <c r="A409" s="22" t="s">
        <v>231</v>
      </c>
      <c r="B409" s="18" t="s">
        <v>228</v>
      </c>
      <c r="C409" s="18" t="s">
        <v>625</v>
      </c>
      <c r="D409" s="18"/>
      <c r="E409" s="42">
        <f>E410</f>
        <v>7844</v>
      </c>
      <c r="F409" s="42">
        <f t="shared" ref="F409:G409" si="163">F410</f>
        <v>7844.0000000000009</v>
      </c>
      <c r="G409" s="42">
        <f t="shared" si="163"/>
        <v>7844.0000000000009</v>
      </c>
    </row>
    <row r="410" spans="1:9" ht="47.25" outlineLevel="2" x14ac:dyDescent="0.25">
      <c r="A410" s="17" t="s">
        <v>94</v>
      </c>
      <c r="B410" s="18" t="s">
        <v>228</v>
      </c>
      <c r="C410" s="18" t="s">
        <v>625</v>
      </c>
      <c r="D410" s="18" t="s">
        <v>95</v>
      </c>
      <c r="E410" s="42">
        <v>7844</v>
      </c>
      <c r="F410" s="1">
        <v>7844.0000000000009</v>
      </c>
      <c r="G410" s="1">
        <v>7844.0000000000009</v>
      </c>
    </row>
    <row r="411" spans="1:9" ht="141.75" outlineLevel="2" x14ac:dyDescent="0.25">
      <c r="A411" s="20" t="s">
        <v>244</v>
      </c>
      <c r="B411" s="18" t="s">
        <v>228</v>
      </c>
      <c r="C411" s="18" t="s">
        <v>626</v>
      </c>
      <c r="D411" s="18"/>
      <c r="E411" s="42">
        <f>E412</f>
        <v>126788.8</v>
      </c>
      <c r="F411" s="42">
        <f t="shared" ref="F411:G411" si="164">F412</f>
        <v>126788.8</v>
      </c>
      <c r="G411" s="42">
        <f t="shared" si="164"/>
        <v>126788.8</v>
      </c>
    </row>
    <row r="412" spans="1:9" ht="47.25" outlineLevel="2" x14ac:dyDescent="0.25">
      <c r="A412" s="20" t="s">
        <v>94</v>
      </c>
      <c r="B412" s="18" t="s">
        <v>228</v>
      </c>
      <c r="C412" s="18" t="s">
        <v>626</v>
      </c>
      <c r="D412" s="18" t="s">
        <v>95</v>
      </c>
      <c r="E412" s="42">
        <v>126788.8</v>
      </c>
      <c r="F412" s="1">
        <v>126788.8</v>
      </c>
      <c r="G412" s="1">
        <v>126788.8</v>
      </c>
    </row>
    <row r="413" spans="1:9" outlineLevel="2" x14ac:dyDescent="0.25">
      <c r="A413" s="20" t="s">
        <v>156</v>
      </c>
      <c r="B413" s="18" t="s">
        <v>228</v>
      </c>
      <c r="C413" s="18" t="s">
        <v>212</v>
      </c>
      <c r="D413" s="9"/>
      <c r="E413" s="42">
        <f>E414</f>
        <v>574967.49999999988</v>
      </c>
      <c r="F413" s="42">
        <f>F414</f>
        <v>569215.69999999995</v>
      </c>
      <c r="G413" s="42">
        <f>G414</f>
        <v>560885.69999999995</v>
      </c>
    </row>
    <row r="414" spans="1:9" ht="47.25" outlineLevel="2" x14ac:dyDescent="0.25">
      <c r="A414" s="33" t="s">
        <v>213</v>
      </c>
      <c r="B414" s="18" t="s">
        <v>228</v>
      </c>
      <c r="C414" s="18" t="s">
        <v>214</v>
      </c>
      <c r="D414" s="9"/>
      <c r="E414" s="42">
        <f>E415+E419+E421</f>
        <v>574967.49999999988</v>
      </c>
      <c r="F414" s="42">
        <f>F415+F418+F420</f>
        <v>569215.69999999995</v>
      </c>
      <c r="G414" s="42">
        <f>G415+G418+G420</f>
        <v>560885.69999999995</v>
      </c>
    </row>
    <row r="415" spans="1:9" ht="63" outlineLevel="2" x14ac:dyDescent="0.25">
      <c r="A415" s="20" t="s">
        <v>232</v>
      </c>
      <c r="B415" s="18" t="s">
        <v>228</v>
      </c>
      <c r="C415" s="18" t="s">
        <v>629</v>
      </c>
      <c r="D415" s="18"/>
      <c r="E415" s="42">
        <f>E416</f>
        <v>571791.19999999995</v>
      </c>
      <c r="F415" s="42">
        <f t="shared" ref="F415:G415" si="165">F416</f>
        <v>547631.69999999995</v>
      </c>
      <c r="G415" s="42">
        <f t="shared" si="165"/>
        <v>547722.79999999993</v>
      </c>
      <c r="I415" s="61"/>
    </row>
    <row r="416" spans="1:9" outlineLevel="2" x14ac:dyDescent="0.25">
      <c r="A416" s="2" t="s">
        <v>33</v>
      </c>
      <c r="B416" s="18" t="s">
        <v>228</v>
      </c>
      <c r="C416" s="18" t="s">
        <v>629</v>
      </c>
      <c r="D416" s="18" t="s">
        <v>536</v>
      </c>
      <c r="E416" s="42">
        <f>528463.6+43327.7-0.1</f>
        <v>571791.19999999995</v>
      </c>
      <c r="F416" s="1">
        <v>547631.69999999995</v>
      </c>
      <c r="G416" s="1">
        <v>547722.79999999993</v>
      </c>
    </row>
    <row r="417" spans="1:7" ht="47.25" outlineLevel="2" x14ac:dyDescent="0.25">
      <c r="A417" s="2" t="s">
        <v>639</v>
      </c>
      <c r="B417" s="18" t="s">
        <v>228</v>
      </c>
      <c r="C417" s="55" t="s">
        <v>640</v>
      </c>
      <c r="D417" s="18"/>
      <c r="E417" s="42">
        <f>E418</f>
        <v>0</v>
      </c>
      <c r="F417" s="1">
        <f>F418</f>
        <v>19456.300000000003</v>
      </c>
      <c r="G417" s="1">
        <f>G418</f>
        <v>8907.6</v>
      </c>
    </row>
    <row r="418" spans="1:7" ht="47.25" outlineLevel="2" x14ac:dyDescent="0.25">
      <c r="A418" s="2" t="s">
        <v>94</v>
      </c>
      <c r="B418" s="18" t="s">
        <v>228</v>
      </c>
      <c r="C418" s="55" t="s">
        <v>640</v>
      </c>
      <c r="D418" s="18" t="s">
        <v>95</v>
      </c>
      <c r="E418" s="42">
        <v>0</v>
      </c>
      <c r="F418" s="1">
        <v>19456.300000000003</v>
      </c>
      <c r="G418" s="1">
        <v>8907.6</v>
      </c>
    </row>
    <row r="419" spans="1:7" ht="47.25" outlineLevel="2" x14ac:dyDescent="0.25">
      <c r="A419" s="2" t="s">
        <v>233</v>
      </c>
      <c r="B419" s="18" t="s">
        <v>228</v>
      </c>
      <c r="C419" s="55" t="s">
        <v>234</v>
      </c>
      <c r="D419" s="18"/>
      <c r="E419" s="42">
        <f>E420</f>
        <v>2127.6999999999998</v>
      </c>
      <c r="F419" s="1">
        <f>F420</f>
        <v>2127.6999999999998</v>
      </c>
      <c r="G419" s="1">
        <f>G420</f>
        <v>4255.2999999999993</v>
      </c>
    </row>
    <row r="420" spans="1:7" ht="47.25" outlineLevel="2" x14ac:dyDescent="0.25">
      <c r="A420" s="2" t="s">
        <v>94</v>
      </c>
      <c r="B420" s="18" t="s">
        <v>228</v>
      </c>
      <c r="C420" s="55" t="s">
        <v>234</v>
      </c>
      <c r="D420" s="18" t="s">
        <v>95</v>
      </c>
      <c r="E420" s="42">
        <v>2127.6999999999998</v>
      </c>
      <c r="F420" s="1">
        <v>2127.6999999999998</v>
      </c>
      <c r="G420" s="1">
        <v>4255.2999999999993</v>
      </c>
    </row>
    <row r="421" spans="1:7" ht="31.5" outlineLevel="2" x14ac:dyDescent="0.25">
      <c r="A421" s="34" t="s">
        <v>609</v>
      </c>
      <c r="B421" s="18" t="s">
        <v>228</v>
      </c>
      <c r="C421" s="18" t="s">
        <v>610</v>
      </c>
      <c r="D421" s="18"/>
      <c r="E421" s="42">
        <f>E422</f>
        <v>1048.6000000000001</v>
      </c>
      <c r="F421" s="42">
        <f t="shared" ref="F421:G421" si="166">F422</f>
        <v>0</v>
      </c>
      <c r="G421" s="42">
        <f t="shared" si="166"/>
        <v>0</v>
      </c>
    </row>
    <row r="422" spans="1:7" ht="47.25" outlineLevel="2" x14ac:dyDescent="0.25">
      <c r="A422" s="17" t="s">
        <v>94</v>
      </c>
      <c r="B422" s="18" t="s">
        <v>228</v>
      </c>
      <c r="C422" s="18" t="s">
        <v>610</v>
      </c>
      <c r="D422" s="18" t="s">
        <v>95</v>
      </c>
      <c r="E422" s="42">
        <f>62.9+985.7</f>
        <v>1048.6000000000001</v>
      </c>
      <c r="F422" s="1">
        <v>0</v>
      </c>
      <c r="G422" s="1">
        <v>0</v>
      </c>
    </row>
    <row r="423" spans="1:7" outlineLevel="2" x14ac:dyDescent="0.25">
      <c r="A423" s="20" t="s">
        <v>145</v>
      </c>
      <c r="B423" s="18" t="s">
        <v>228</v>
      </c>
      <c r="C423" s="18" t="s">
        <v>217</v>
      </c>
      <c r="D423" s="18"/>
      <c r="E423" s="42">
        <f>E424+E451</f>
        <v>2507319.8999999994</v>
      </c>
      <c r="F423" s="42">
        <f>F424+F451</f>
        <v>2621828.0999999996</v>
      </c>
      <c r="G423" s="42">
        <f>G424+G451</f>
        <v>2832832.5</v>
      </c>
    </row>
    <row r="424" spans="1:7" ht="63" outlineLevel="2" x14ac:dyDescent="0.25">
      <c r="A424" s="34" t="s">
        <v>500</v>
      </c>
      <c r="B424" s="18" t="s">
        <v>228</v>
      </c>
      <c r="C424" s="18" t="s">
        <v>218</v>
      </c>
      <c r="D424" s="9"/>
      <c r="E424" s="42">
        <f>E427+E429+E431+E433+E435+E439+E441+E443+E445+E425+E437+E447++E449</f>
        <v>2500501.0999999996</v>
      </c>
      <c r="F424" s="42">
        <f>F427+F429+F431+F433+F435+F439+F441+F443+F445+F425+F437+F447++F449</f>
        <v>2615014.9999999995</v>
      </c>
      <c r="G424" s="42">
        <f>G427+G429+G431+G433+G435+G439+G441+G443+G445+G425+G437+G447++G449</f>
        <v>2826019.4</v>
      </c>
    </row>
    <row r="425" spans="1:7" ht="63" outlineLevel="2" x14ac:dyDescent="0.25">
      <c r="A425" s="34" t="s">
        <v>235</v>
      </c>
      <c r="B425" s="18" t="s">
        <v>228</v>
      </c>
      <c r="C425" s="18" t="s">
        <v>630</v>
      </c>
      <c r="D425" s="18"/>
      <c r="E425" s="42">
        <f>E426</f>
        <v>186690.69999999998</v>
      </c>
      <c r="F425" s="42">
        <f t="shared" ref="F425:G425" si="167">F426</f>
        <v>175684.4</v>
      </c>
      <c r="G425" s="42">
        <f t="shared" si="167"/>
        <v>171331.19999999998</v>
      </c>
    </row>
    <row r="426" spans="1:7" ht="47.25" outlineLevel="2" x14ac:dyDescent="0.25">
      <c r="A426" s="20" t="s">
        <v>94</v>
      </c>
      <c r="B426" s="18" t="s">
        <v>228</v>
      </c>
      <c r="C426" s="18" t="s">
        <v>630</v>
      </c>
      <c r="D426" s="18">
        <v>600</v>
      </c>
      <c r="E426" s="42">
        <v>186690.69999999998</v>
      </c>
      <c r="F426" s="42">
        <v>175684.4</v>
      </c>
      <c r="G426" s="42">
        <v>171331.19999999998</v>
      </c>
    </row>
    <row r="427" spans="1:7" ht="63" outlineLevel="2" x14ac:dyDescent="0.25">
      <c r="A427" s="33" t="s">
        <v>236</v>
      </c>
      <c r="B427" s="18" t="s">
        <v>228</v>
      </c>
      <c r="C427" s="23" t="s">
        <v>237</v>
      </c>
      <c r="D427" s="62"/>
      <c r="E427" s="42">
        <f>E428</f>
        <v>35454.1</v>
      </c>
      <c r="F427" s="42">
        <f>F428</f>
        <v>35454.1</v>
      </c>
      <c r="G427" s="42">
        <f>G428</f>
        <v>35454.1</v>
      </c>
    </row>
    <row r="428" spans="1:7" ht="47.25" outlineLevel="2" x14ac:dyDescent="0.25">
      <c r="A428" s="20" t="s">
        <v>94</v>
      </c>
      <c r="B428" s="18" t="s">
        <v>228</v>
      </c>
      <c r="C428" s="23" t="s">
        <v>237</v>
      </c>
      <c r="D428" s="24">
        <v>600</v>
      </c>
      <c r="E428" s="42">
        <v>35454.1</v>
      </c>
      <c r="F428" s="1">
        <v>35454.1</v>
      </c>
      <c r="G428" s="1">
        <v>35454.1</v>
      </c>
    </row>
    <row r="429" spans="1:7" ht="47.25" outlineLevel="2" x14ac:dyDescent="0.25">
      <c r="A429" s="8" t="s">
        <v>152</v>
      </c>
      <c r="B429" s="18" t="s">
        <v>228</v>
      </c>
      <c r="C429" s="18" t="s">
        <v>219</v>
      </c>
      <c r="D429" s="9"/>
      <c r="E429" s="42">
        <f>E430</f>
        <v>378406.6</v>
      </c>
      <c r="F429" s="42">
        <f t="shared" ref="F429:G429" si="168">F430</f>
        <v>365666.60000000003</v>
      </c>
      <c r="G429" s="42">
        <f t="shared" si="168"/>
        <v>372138.2</v>
      </c>
    </row>
    <row r="430" spans="1:7" ht="47.25" outlineLevel="2" x14ac:dyDescent="0.25">
      <c r="A430" s="20" t="s">
        <v>94</v>
      </c>
      <c r="B430" s="18" t="s">
        <v>228</v>
      </c>
      <c r="C430" s="18" t="s">
        <v>219</v>
      </c>
      <c r="D430" s="9">
        <v>600</v>
      </c>
      <c r="E430" s="42">
        <f>360069.6+160+1421.6+1114+15641.4</f>
        <v>378406.6</v>
      </c>
      <c r="F430" s="1">
        <v>365666.60000000003</v>
      </c>
      <c r="G430" s="1">
        <v>372138.2</v>
      </c>
    </row>
    <row r="431" spans="1:7" ht="47.25" outlineLevel="2" x14ac:dyDescent="0.25">
      <c r="A431" s="33" t="s">
        <v>238</v>
      </c>
      <c r="B431" s="18" t="s">
        <v>228</v>
      </c>
      <c r="C431" s="18" t="s">
        <v>239</v>
      </c>
      <c r="D431" s="9"/>
      <c r="E431" s="42">
        <f>E432</f>
        <v>73083.399999999994</v>
      </c>
      <c r="F431" s="42">
        <f t="shared" ref="F431:G431" si="169">F432</f>
        <v>73083.399999999994</v>
      </c>
      <c r="G431" s="42">
        <f t="shared" si="169"/>
        <v>73083.399999999994</v>
      </c>
    </row>
    <row r="432" spans="1:7" ht="47.25" outlineLevel="2" x14ac:dyDescent="0.25">
      <c r="A432" s="20" t="s">
        <v>94</v>
      </c>
      <c r="B432" s="18" t="s">
        <v>228</v>
      </c>
      <c r="C432" s="18" t="s">
        <v>239</v>
      </c>
      <c r="D432" s="9">
        <v>600</v>
      </c>
      <c r="E432" s="42">
        <v>73083.399999999994</v>
      </c>
      <c r="F432" s="1">
        <v>73083.399999999994</v>
      </c>
      <c r="G432" s="1">
        <v>73083.399999999994</v>
      </c>
    </row>
    <row r="433" spans="1:7" ht="63" outlineLevel="2" x14ac:dyDescent="0.25">
      <c r="A433" s="33" t="s">
        <v>240</v>
      </c>
      <c r="B433" s="18" t="s">
        <v>228</v>
      </c>
      <c r="C433" s="23" t="s">
        <v>241</v>
      </c>
      <c r="D433" s="62"/>
      <c r="E433" s="42">
        <f>E434</f>
        <v>1000</v>
      </c>
      <c r="F433" s="42">
        <f t="shared" ref="F433:G433" si="170">F434</f>
        <v>1000</v>
      </c>
      <c r="G433" s="42">
        <f t="shared" si="170"/>
        <v>1000</v>
      </c>
    </row>
    <row r="434" spans="1:7" ht="47.25" outlineLevel="2" x14ac:dyDescent="0.25">
      <c r="A434" s="20" t="s">
        <v>94</v>
      </c>
      <c r="B434" s="18" t="s">
        <v>228</v>
      </c>
      <c r="C434" s="23" t="s">
        <v>241</v>
      </c>
      <c r="D434" s="24">
        <v>600</v>
      </c>
      <c r="E434" s="42">
        <v>1000</v>
      </c>
      <c r="F434" s="1">
        <v>1000</v>
      </c>
      <c r="G434" s="1">
        <v>1000</v>
      </c>
    </row>
    <row r="435" spans="1:7" ht="78.75" outlineLevel="2" x14ac:dyDescent="0.25">
      <c r="A435" s="33" t="s">
        <v>242</v>
      </c>
      <c r="B435" s="18" t="s">
        <v>228</v>
      </c>
      <c r="C435" s="23" t="s">
        <v>243</v>
      </c>
      <c r="D435" s="24"/>
      <c r="E435" s="42">
        <f>E436</f>
        <v>7812.3000000000011</v>
      </c>
      <c r="F435" s="42">
        <f t="shared" ref="F435:G435" si="171">F436</f>
        <v>8382.2000000000007</v>
      </c>
      <c r="G435" s="42">
        <f t="shared" si="171"/>
        <v>8382.2000000000007</v>
      </c>
    </row>
    <row r="436" spans="1:7" ht="47.25" outlineLevel="2" x14ac:dyDescent="0.25">
      <c r="A436" s="20" t="s">
        <v>94</v>
      </c>
      <c r="B436" s="18" t="s">
        <v>228</v>
      </c>
      <c r="C436" s="23" t="s">
        <v>243</v>
      </c>
      <c r="D436" s="24">
        <v>600</v>
      </c>
      <c r="E436" s="42">
        <f>415.6+6510.9+0.1+53.1+832.6</f>
        <v>7812.3000000000011</v>
      </c>
      <c r="F436" s="1">
        <v>8382.2000000000007</v>
      </c>
      <c r="G436" s="1">
        <v>8382.2000000000007</v>
      </c>
    </row>
    <row r="437" spans="1:7" ht="141.75" outlineLevel="2" x14ac:dyDescent="0.25">
      <c r="A437" s="33" t="s">
        <v>631</v>
      </c>
      <c r="B437" s="18" t="s">
        <v>228</v>
      </c>
      <c r="C437" s="18" t="s">
        <v>632</v>
      </c>
      <c r="D437" s="18"/>
      <c r="E437" s="42">
        <f>E438</f>
        <v>190.3</v>
      </c>
      <c r="F437" s="42">
        <f t="shared" ref="F437:G437" si="172">F438</f>
        <v>190.3</v>
      </c>
      <c r="G437" s="42">
        <f t="shared" si="172"/>
        <v>190.3</v>
      </c>
    </row>
    <row r="438" spans="1:7" ht="47.25" outlineLevel="2" x14ac:dyDescent="0.25">
      <c r="A438" s="20" t="s">
        <v>94</v>
      </c>
      <c r="B438" s="18" t="s">
        <v>228</v>
      </c>
      <c r="C438" s="18" t="s">
        <v>632</v>
      </c>
      <c r="D438" s="18" t="s">
        <v>95</v>
      </c>
      <c r="E438" s="42">
        <v>190.3</v>
      </c>
      <c r="F438" s="1">
        <v>190.3</v>
      </c>
      <c r="G438" s="1">
        <v>190.3</v>
      </c>
    </row>
    <row r="439" spans="1:7" ht="157.5" outlineLevel="2" x14ac:dyDescent="0.25">
      <c r="A439" s="33" t="s">
        <v>245</v>
      </c>
      <c r="B439" s="18" t="s">
        <v>228</v>
      </c>
      <c r="C439" s="30" t="s">
        <v>246</v>
      </c>
      <c r="D439" s="3"/>
      <c r="E439" s="42">
        <f>E440</f>
        <v>8432</v>
      </c>
      <c r="F439" s="42">
        <f t="shared" ref="F439:G439" si="173">F440</f>
        <v>8630.1999999999989</v>
      </c>
      <c r="G439" s="42">
        <f t="shared" si="173"/>
        <v>8630.2000000000007</v>
      </c>
    </row>
    <row r="440" spans="1:7" ht="47.25" outlineLevel="2" x14ac:dyDescent="0.25">
      <c r="A440" s="20" t="s">
        <v>94</v>
      </c>
      <c r="B440" s="18" t="s">
        <v>228</v>
      </c>
      <c r="C440" s="30" t="s">
        <v>246</v>
      </c>
      <c r="D440" s="3">
        <v>600</v>
      </c>
      <c r="E440" s="42">
        <f>8315.2+116.8</f>
        <v>8432</v>
      </c>
      <c r="F440" s="1">
        <v>8630.1999999999989</v>
      </c>
      <c r="G440" s="1">
        <v>8630.2000000000007</v>
      </c>
    </row>
    <row r="441" spans="1:7" ht="94.5" outlineLevel="2" x14ac:dyDescent="0.25">
      <c r="A441" s="33" t="s">
        <v>247</v>
      </c>
      <c r="B441" s="18" t="s">
        <v>228</v>
      </c>
      <c r="C441" s="18" t="s">
        <v>248</v>
      </c>
      <c r="D441" s="9"/>
      <c r="E441" s="42">
        <f>E442</f>
        <v>198</v>
      </c>
      <c r="F441" s="42">
        <f t="shared" ref="F441:G441" si="174">F442</f>
        <v>198</v>
      </c>
      <c r="G441" s="42">
        <f t="shared" si="174"/>
        <v>198</v>
      </c>
    </row>
    <row r="442" spans="1:7" ht="47.25" outlineLevel="2" x14ac:dyDescent="0.25">
      <c r="A442" s="17" t="s">
        <v>94</v>
      </c>
      <c r="B442" s="18" t="s">
        <v>228</v>
      </c>
      <c r="C442" s="18" t="s">
        <v>248</v>
      </c>
      <c r="D442" s="9">
        <v>600</v>
      </c>
      <c r="E442" s="42">
        <f>183.8+14.2</f>
        <v>198</v>
      </c>
      <c r="F442" s="1">
        <v>198</v>
      </c>
      <c r="G442" s="1">
        <v>198</v>
      </c>
    </row>
    <row r="443" spans="1:7" ht="204.75" outlineLevel="2" x14ac:dyDescent="0.25">
      <c r="A443" s="33" t="s">
        <v>222</v>
      </c>
      <c r="B443" s="18" t="s">
        <v>228</v>
      </c>
      <c r="C443" s="18" t="s">
        <v>223</v>
      </c>
      <c r="D443" s="18"/>
      <c r="E443" s="42">
        <f>E444</f>
        <v>1778140.5</v>
      </c>
      <c r="F443" s="42">
        <f t="shared" ref="F443:G443" si="175">F444</f>
        <v>1919825.4</v>
      </c>
      <c r="G443" s="42">
        <f t="shared" si="175"/>
        <v>2128754.9</v>
      </c>
    </row>
    <row r="444" spans="1:7" ht="47.25" outlineLevel="2" x14ac:dyDescent="0.25">
      <c r="A444" s="20" t="s">
        <v>94</v>
      </c>
      <c r="B444" s="18" t="s">
        <v>228</v>
      </c>
      <c r="C444" s="18" t="s">
        <v>223</v>
      </c>
      <c r="D444" s="18" t="s">
        <v>95</v>
      </c>
      <c r="E444" s="42">
        <f>1557554.9+220585.6</f>
        <v>1778140.5</v>
      </c>
      <c r="F444" s="1">
        <v>1919825.4</v>
      </c>
      <c r="G444" s="1">
        <v>2128754.9</v>
      </c>
    </row>
    <row r="445" spans="1:7" ht="189" outlineLevel="2" x14ac:dyDescent="0.25">
      <c r="A445" s="33" t="s">
        <v>249</v>
      </c>
      <c r="B445" s="18" t="s">
        <v>228</v>
      </c>
      <c r="C445" s="18" t="s">
        <v>250</v>
      </c>
      <c r="D445" s="18"/>
      <c r="E445" s="42">
        <f>E446</f>
        <v>24894.600000000002</v>
      </c>
      <c r="F445" s="42">
        <f t="shared" ref="F445:G445" si="176">F446</f>
        <v>24894.600000000002</v>
      </c>
      <c r="G445" s="42">
        <f t="shared" si="176"/>
        <v>24894.600000000002</v>
      </c>
    </row>
    <row r="446" spans="1:7" ht="47.25" outlineLevel="2" x14ac:dyDescent="0.25">
      <c r="A446" s="20" t="s">
        <v>94</v>
      </c>
      <c r="B446" s="18" t="s">
        <v>228</v>
      </c>
      <c r="C446" s="18" t="s">
        <v>250</v>
      </c>
      <c r="D446" s="18" t="s">
        <v>95</v>
      </c>
      <c r="E446" s="42">
        <f>18932.9+5961.7</f>
        <v>24894.600000000002</v>
      </c>
      <c r="F446" s="1">
        <v>24894.600000000002</v>
      </c>
      <c r="G446" s="1">
        <v>24894.600000000002</v>
      </c>
    </row>
    <row r="447" spans="1:7" ht="126" outlineLevel="2" x14ac:dyDescent="0.25">
      <c r="A447" s="20" t="s">
        <v>268</v>
      </c>
      <c r="B447" s="18" t="s">
        <v>228</v>
      </c>
      <c r="C447" s="18" t="s">
        <v>269</v>
      </c>
      <c r="D447" s="18"/>
      <c r="E447" s="42">
        <f>E448</f>
        <v>2156.3000000000002</v>
      </c>
      <c r="F447" s="42">
        <f t="shared" ref="F447:G447" si="177">F448</f>
        <v>2005.8</v>
      </c>
      <c r="G447" s="42">
        <f t="shared" si="177"/>
        <v>1962.3</v>
      </c>
    </row>
    <row r="448" spans="1:7" ht="47.25" outlineLevel="2" x14ac:dyDescent="0.25">
      <c r="A448" s="20" t="s">
        <v>94</v>
      </c>
      <c r="B448" s="18" t="s">
        <v>228</v>
      </c>
      <c r="C448" s="18" t="s">
        <v>269</v>
      </c>
      <c r="D448" s="18" t="s">
        <v>95</v>
      </c>
      <c r="E448" s="42">
        <v>2156.3000000000002</v>
      </c>
      <c r="F448" s="1">
        <v>2005.8</v>
      </c>
      <c r="G448" s="1">
        <v>1962.3</v>
      </c>
    </row>
    <row r="449" spans="1:7" ht="189" outlineLevel="2" x14ac:dyDescent="0.25">
      <c r="A449" s="20" t="s">
        <v>633</v>
      </c>
      <c r="B449" s="18" t="s">
        <v>228</v>
      </c>
      <c r="C449" s="18" t="s">
        <v>634</v>
      </c>
      <c r="D449" s="18"/>
      <c r="E449" s="42">
        <f>E450</f>
        <v>4042.3</v>
      </c>
      <c r="F449" s="42">
        <f t="shared" ref="F449:G449" si="178">F450</f>
        <v>0</v>
      </c>
      <c r="G449" s="42">
        <f t="shared" si="178"/>
        <v>0</v>
      </c>
    </row>
    <row r="450" spans="1:7" ht="47.25" outlineLevel="2" x14ac:dyDescent="0.25">
      <c r="A450" s="20" t="s">
        <v>94</v>
      </c>
      <c r="B450" s="18" t="s">
        <v>228</v>
      </c>
      <c r="C450" s="18" t="s">
        <v>634</v>
      </c>
      <c r="D450" s="18" t="s">
        <v>95</v>
      </c>
      <c r="E450" s="42">
        <v>4042.3</v>
      </c>
      <c r="F450" s="1">
        <v>0</v>
      </c>
      <c r="G450" s="1">
        <v>0</v>
      </c>
    </row>
    <row r="451" spans="1:7" ht="63" outlineLevel="2" x14ac:dyDescent="0.25">
      <c r="A451" s="33" t="s">
        <v>494</v>
      </c>
      <c r="B451" s="18" t="s">
        <v>228</v>
      </c>
      <c r="C451" s="18" t="s">
        <v>224</v>
      </c>
      <c r="D451" s="9"/>
      <c r="E451" s="42">
        <f>E452+E456+E458+E460+E454</f>
        <v>6818.8</v>
      </c>
      <c r="F451" s="42">
        <f t="shared" ref="F451:G451" si="179">F452+F456+F458+F460</f>
        <v>6813.1</v>
      </c>
      <c r="G451" s="42">
        <f t="shared" si="179"/>
        <v>6813.1</v>
      </c>
    </row>
    <row r="452" spans="1:7" ht="31.5" outlineLevel="2" x14ac:dyDescent="0.25">
      <c r="A452" s="50" t="s">
        <v>251</v>
      </c>
      <c r="B452" s="23" t="s">
        <v>228</v>
      </c>
      <c r="C452" s="23" t="s">
        <v>252</v>
      </c>
      <c r="D452" s="24"/>
      <c r="E452" s="42">
        <f>E453</f>
        <v>813.7</v>
      </c>
      <c r="F452" s="42">
        <f t="shared" ref="F452:G452" si="180">F453</f>
        <v>813.7</v>
      </c>
      <c r="G452" s="42">
        <f t="shared" si="180"/>
        <v>813.7</v>
      </c>
    </row>
    <row r="453" spans="1:7" ht="47.25" outlineLevel="2" x14ac:dyDescent="0.25">
      <c r="A453" s="20" t="s">
        <v>94</v>
      </c>
      <c r="B453" s="23" t="s">
        <v>228</v>
      </c>
      <c r="C453" s="23" t="s">
        <v>252</v>
      </c>
      <c r="D453" s="24">
        <v>600</v>
      </c>
      <c r="E453" s="42">
        <v>813.7</v>
      </c>
      <c r="F453" s="1">
        <v>813.7</v>
      </c>
      <c r="G453" s="1">
        <v>813.7</v>
      </c>
    </row>
    <row r="454" spans="1:7" ht="31.5" outlineLevel="2" x14ac:dyDescent="0.25">
      <c r="A454" s="34" t="s">
        <v>281</v>
      </c>
      <c r="B454" s="18" t="s">
        <v>228</v>
      </c>
      <c r="C454" s="18" t="s">
        <v>282</v>
      </c>
      <c r="D454" s="18"/>
      <c r="E454" s="42">
        <f>E455</f>
        <v>5.7</v>
      </c>
      <c r="F454" s="42">
        <f t="shared" ref="F454:G454" si="181">F455</f>
        <v>0</v>
      </c>
      <c r="G454" s="42">
        <f t="shared" si="181"/>
        <v>0</v>
      </c>
    </row>
    <row r="455" spans="1:7" ht="47.25" outlineLevel="2" x14ac:dyDescent="0.25">
      <c r="A455" s="20" t="s">
        <v>94</v>
      </c>
      <c r="B455" s="18" t="s">
        <v>228</v>
      </c>
      <c r="C455" s="18" t="s">
        <v>282</v>
      </c>
      <c r="D455" s="18">
        <v>600</v>
      </c>
      <c r="E455" s="42">
        <v>5.7</v>
      </c>
      <c r="F455" s="1">
        <v>0</v>
      </c>
      <c r="G455" s="1">
        <v>0</v>
      </c>
    </row>
    <row r="456" spans="1:7" ht="47.25" outlineLevel="2" x14ac:dyDescent="0.25">
      <c r="A456" s="29" t="s">
        <v>253</v>
      </c>
      <c r="B456" s="18" t="s">
        <v>228</v>
      </c>
      <c r="C456" s="23" t="s">
        <v>254</v>
      </c>
      <c r="D456" s="62"/>
      <c r="E456" s="42">
        <f>E457</f>
        <v>660</v>
      </c>
      <c r="F456" s="42">
        <f t="shared" ref="F456:G456" si="182">F457</f>
        <v>660</v>
      </c>
      <c r="G456" s="42">
        <f t="shared" si="182"/>
        <v>660</v>
      </c>
    </row>
    <row r="457" spans="1:7" ht="47.25" outlineLevel="2" x14ac:dyDescent="0.25">
      <c r="A457" s="20" t="s">
        <v>94</v>
      </c>
      <c r="B457" s="18" t="s">
        <v>228</v>
      </c>
      <c r="C457" s="23" t="s">
        <v>254</v>
      </c>
      <c r="D457" s="24">
        <v>600</v>
      </c>
      <c r="E457" s="42">
        <f>624+36</f>
        <v>660</v>
      </c>
      <c r="F457" s="1">
        <v>660</v>
      </c>
      <c r="G457" s="1">
        <v>660</v>
      </c>
    </row>
    <row r="458" spans="1:7" ht="47.25" outlineLevel="2" x14ac:dyDescent="0.25">
      <c r="A458" s="29" t="s">
        <v>255</v>
      </c>
      <c r="B458" s="23" t="s">
        <v>228</v>
      </c>
      <c r="C458" s="23" t="s">
        <v>226</v>
      </c>
      <c r="D458" s="24"/>
      <c r="E458" s="42">
        <f>E459</f>
        <v>2539.4</v>
      </c>
      <c r="F458" s="42">
        <f t="shared" ref="F458:G458" si="183">F459</f>
        <v>2539.4</v>
      </c>
      <c r="G458" s="42">
        <f t="shared" si="183"/>
        <v>2539.4</v>
      </c>
    </row>
    <row r="459" spans="1:7" ht="47.25" outlineLevel="2" x14ac:dyDescent="0.25">
      <c r="A459" s="20" t="s">
        <v>94</v>
      </c>
      <c r="B459" s="23" t="s">
        <v>228</v>
      </c>
      <c r="C459" s="23" t="s">
        <v>226</v>
      </c>
      <c r="D459" s="24">
        <v>600</v>
      </c>
      <c r="E459" s="42">
        <v>2539.4</v>
      </c>
      <c r="F459" s="1">
        <v>2539.4</v>
      </c>
      <c r="G459" s="1">
        <v>2539.4</v>
      </c>
    </row>
    <row r="460" spans="1:7" ht="126" outlineLevel="2" x14ac:dyDescent="0.25">
      <c r="A460" s="33" t="s">
        <v>256</v>
      </c>
      <c r="B460" s="23" t="s">
        <v>228</v>
      </c>
      <c r="C460" s="23" t="s">
        <v>257</v>
      </c>
      <c r="D460" s="24"/>
      <c r="E460" s="42">
        <f>E461</f>
        <v>2800</v>
      </c>
      <c r="F460" s="42">
        <f t="shared" ref="F460:G460" si="184">F461</f>
        <v>2800</v>
      </c>
      <c r="G460" s="42">
        <f t="shared" si="184"/>
        <v>2800</v>
      </c>
    </row>
    <row r="461" spans="1:7" ht="31.5" outlineLevel="2" x14ac:dyDescent="0.25">
      <c r="A461" s="20" t="s">
        <v>20</v>
      </c>
      <c r="B461" s="23" t="s">
        <v>228</v>
      </c>
      <c r="C461" s="23" t="s">
        <v>257</v>
      </c>
      <c r="D461" s="24">
        <v>300</v>
      </c>
      <c r="E461" s="42">
        <v>2800</v>
      </c>
      <c r="F461" s="1">
        <v>2800</v>
      </c>
      <c r="G461" s="1">
        <v>2800</v>
      </c>
    </row>
    <row r="462" spans="1:7" outlineLevel="1" x14ac:dyDescent="0.25">
      <c r="A462" s="20" t="s">
        <v>258</v>
      </c>
      <c r="B462" s="23" t="s">
        <v>259</v>
      </c>
      <c r="C462" s="23"/>
      <c r="D462" s="24"/>
      <c r="E462" s="42">
        <f>E463+E473</f>
        <v>484048.39999999991</v>
      </c>
      <c r="F462" s="42">
        <f t="shared" ref="F462:G462" si="185">F463+F473</f>
        <v>496910.99999999994</v>
      </c>
      <c r="G462" s="42">
        <f t="shared" si="185"/>
        <v>514856.3</v>
      </c>
    </row>
    <row r="463" spans="1:7" ht="31.5" outlineLevel="2" x14ac:dyDescent="0.25">
      <c r="A463" s="20" t="s">
        <v>210</v>
      </c>
      <c r="B463" s="18" t="s">
        <v>259</v>
      </c>
      <c r="C463" s="18" t="s">
        <v>211</v>
      </c>
      <c r="D463" s="63"/>
      <c r="E463" s="42">
        <f>E464</f>
        <v>289794.79999999993</v>
      </c>
      <c r="F463" s="42">
        <f t="shared" ref="F463:G464" si="186">F464</f>
        <v>298336.69999999995</v>
      </c>
      <c r="G463" s="42">
        <f t="shared" si="186"/>
        <v>306217.09999999998</v>
      </c>
    </row>
    <row r="464" spans="1:7" outlineLevel="2" x14ac:dyDescent="0.25">
      <c r="A464" s="20" t="s">
        <v>145</v>
      </c>
      <c r="B464" s="18" t="s">
        <v>259</v>
      </c>
      <c r="C464" s="18" t="s">
        <v>217</v>
      </c>
      <c r="D464" s="63"/>
      <c r="E464" s="42">
        <f>E465</f>
        <v>289794.79999999993</v>
      </c>
      <c r="F464" s="42">
        <f t="shared" si="186"/>
        <v>298336.69999999995</v>
      </c>
      <c r="G464" s="42">
        <f t="shared" si="186"/>
        <v>306217.09999999998</v>
      </c>
    </row>
    <row r="465" spans="1:7" ht="63" outlineLevel="2" x14ac:dyDescent="0.25">
      <c r="A465" s="34" t="s">
        <v>500</v>
      </c>
      <c r="B465" s="18" t="s">
        <v>259</v>
      </c>
      <c r="C465" s="18" t="s">
        <v>218</v>
      </c>
      <c r="D465" s="63"/>
      <c r="E465" s="42">
        <f>E466+E468+E471</f>
        <v>289794.79999999993</v>
      </c>
      <c r="F465" s="42">
        <f t="shared" ref="F465:G465" si="187">F466+F468+F471</f>
        <v>298336.69999999995</v>
      </c>
      <c r="G465" s="42">
        <f t="shared" si="187"/>
        <v>306217.09999999998</v>
      </c>
    </row>
    <row r="466" spans="1:7" ht="47.25" outlineLevel="2" x14ac:dyDescent="0.25">
      <c r="A466" s="8" t="s">
        <v>152</v>
      </c>
      <c r="B466" s="18" t="s">
        <v>259</v>
      </c>
      <c r="C466" s="18" t="s">
        <v>219</v>
      </c>
      <c r="D466" s="9"/>
      <c r="E466" s="42">
        <f>E467</f>
        <v>180991.69999999998</v>
      </c>
      <c r="F466" s="42">
        <f t="shared" ref="F466:G466" si="188">F467</f>
        <v>184818</v>
      </c>
      <c r="G466" s="42">
        <f t="shared" si="188"/>
        <v>192524</v>
      </c>
    </row>
    <row r="467" spans="1:7" ht="47.25" outlineLevel="2" x14ac:dyDescent="0.25">
      <c r="A467" s="20" t="s">
        <v>94</v>
      </c>
      <c r="B467" s="18" t="s">
        <v>259</v>
      </c>
      <c r="C467" s="18" t="s">
        <v>219</v>
      </c>
      <c r="D467" s="9">
        <v>600</v>
      </c>
      <c r="E467" s="42">
        <f>177633.2-81.2-3852.7+7292.4</f>
        <v>180991.69999999998</v>
      </c>
      <c r="F467" s="1">
        <v>184818</v>
      </c>
      <c r="G467" s="1">
        <f>192586-62</f>
        <v>192524</v>
      </c>
    </row>
    <row r="468" spans="1:7" ht="47.25" outlineLevel="2" x14ac:dyDescent="0.25">
      <c r="A468" s="33" t="s">
        <v>260</v>
      </c>
      <c r="B468" s="18" t="s">
        <v>259</v>
      </c>
      <c r="C468" s="18" t="s">
        <v>261</v>
      </c>
      <c r="D468" s="9"/>
      <c r="E468" s="42">
        <f>E469+E470</f>
        <v>108483</v>
      </c>
      <c r="F468" s="42">
        <f t="shared" ref="F468:G468" si="189">F469+F470</f>
        <v>113198.6</v>
      </c>
      <c r="G468" s="42">
        <f t="shared" si="189"/>
        <v>113373</v>
      </c>
    </row>
    <row r="469" spans="1:7" ht="47.25" outlineLevel="2" x14ac:dyDescent="0.25">
      <c r="A469" s="20" t="s">
        <v>94</v>
      </c>
      <c r="B469" s="18" t="s">
        <v>259</v>
      </c>
      <c r="C469" s="18" t="s">
        <v>261</v>
      </c>
      <c r="D469" s="9">
        <v>600</v>
      </c>
      <c r="E469" s="42">
        <f>108401.8-5800+81.2+2000</f>
        <v>104683</v>
      </c>
      <c r="F469" s="1">
        <f>113198.6-6110</f>
        <v>107088.6</v>
      </c>
      <c r="G469" s="1">
        <f>113373-6110</f>
        <v>107263</v>
      </c>
    </row>
    <row r="470" spans="1:7" outlineLevel="2" x14ac:dyDescent="0.25">
      <c r="A470" s="17" t="s">
        <v>33</v>
      </c>
      <c r="B470" s="18" t="s">
        <v>259</v>
      </c>
      <c r="C470" s="18" t="s">
        <v>261</v>
      </c>
      <c r="D470" s="9">
        <v>800</v>
      </c>
      <c r="E470" s="42">
        <f>5800-2000</f>
        <v>3800</v>
      </c>
      <c r="F470" s="1">
        <v>6110</v>
      </c>
      <c r="G470" s="1">
        <v>6110</v>
      </c>
    </row>
    <row r="471" spans="1:7" ht="110.25" outlineLevel="2" x14ac:dyDescent="0.25">
      <c r="A471" s="33" t="s">
        <v>262</v>
      </c>
      <c r="B471" s="18" t="s">
        <v>259</v>
      </c>
      <c r="C471" s="18" t="s">
        <v>263</v>
      </c>
      <c r="D471" s="9"/>
      <c r="E471" s="42">
        <f>E472</f>
        <v>320.10000000000002</v>
      </c>
      <c r="F471" s="42">
        <f t="shared" ref="F471:G471" si="190">F472</f>
        <v>320.10000000000002</v>
      </c>
      <c r="G471" s="42">
        <f t="shared" si="190"/>
        <v>320.10000000000002</v>
      </c>
    </row>
    <row r="472" spans="1:7" ht="47.25" outlineLevel="2" x14ac:dyDescent="0.25">
      <c r="A472" s="20" t="s">
        <v>94</v>
      </c>
      <c r="B472" s="18" t="s">
        <v>259</v>
      </c>
      <c r="C472" s="18" t="s">
        <v>263</v>
      </c>
      <c r="D472" s="9">
        <v>600</v>
      </c>
      <c r="E472" s="42">
        <v>320.10000000000002</v>
      </c>
      <c r="F472" s="1">
        <v>320.10000000000002</v>
      </c>
      <c r="G472" s="1">
        <v>320.10000000000002</v>
      </c>
    </row>
    <row r="473" spans="1:7" ht="31.5" outlineLevel="2" x14ac:dyDescent="0.25">
      <c r="A473" s="35" t="s">
        <v>154</v>
      </c>
      <c r="B473" s="30" t="s">
        <v>259</v>
      </c>
      <c r="C473" s="30" t="s">
        <v>96</v>
      </c>
      <c r="D473" s="3"/>
      <c r="E473" s="64">
        <f t="shared" ref="E473:G476" si="191">E474</f>
        <v>194253.6</v>
      </c>
      <c r="F473" s="64">
        <f t="shared" si="191"/>
        <v>198574.3</v>
      </c>
      <c r="G473" s="64">
        <f t="shared" si="191"/>
        <v>208639.2</v>
      </c>
    </row>
    <row r="474" spans="1:7" outlineLevel="2" x14ac:dyDescent="0.25">
      <c r="A474" s="35" t="s">
        <v>145</v>
      </c>
      <c r="B474" s="30" t="s">
        <v>259</v>
      </c>
      <c r="C474" s="30" t="s">
        <v>107</v>
      </c>
      <c r="D474" s="3"/>
      <c r="E474" s="64">
        <f t="shared" si="191"/>
        <v>194253.6</v>
      </c>
      <c r="F474" s="64">
        <f t="shared" si="191"/>
        <v>198574.3</v>
      </c>
      <c r="G474" s="64">
        <f t="shared" si="191"/>
        <v>208639.2</v>
      </c>
    </row>
    <row r="475" spans="1:7" ht="78.75" outlineLevel="2" x14ac:dyDescent="0.25">
      <c r="A475" s="35" t="s">
        <v>155</v>
      </c>
      <c r="B475" s="30" t="s">
        <v>259</v>
      </c>
      <c r="C475" s="30" t="s">
        <v>108</v>
      </c>
      <c r="D475" s="30"/>
      <c r="E475" s="64">
        <f t="shared" si="191"/>
        <v>194253.6</v>
      </c>
      <c r="F475" s="64">
        <f t="shared" si="191"/>
        <v>198574.3</v>
      </c>
      <c r="G475" s="64">
        <f t="shared" si="191"/>
        <v>208639.2</v>
      </c>
    </row>
    <row r="476" spans="1:7" ht="47.25" outlineLevel="2" x14ac:dyDescent="0.25">
      <c r="A476" s="35" t="s">
        <v>152</v>
      </c>
      <c r="B476" s="30" t="s">
        <v>259</v>
      </c>
      <c r="C476" s="30" t="s">
        <v>109</v>
      </c>
      <c r="D476" s="30"/>
      <c r="E476" s="64">
        <f t="shared" si="191"/>
        <v>194253.6</v>
      </c>
      <c r="F476" s="64">
        <f t="shared" si="191"/>
        <v>198574.3</v>
      </c>
      <c r="G476" s="64">
        <f t="shared" si="191"/>
        <v>208639.2</v>
      </c>
    </row>
    <row r="477" spans="1:7" ht="47.25" outlineLevel="2" x14ac:dyDescent="0.25">
      <c r="A477" s="35" t="s">
        <v>94</v>
      </c>
      <c r="B477" s="30" t="s">
        <v>259</v>
      </c>
      <c r="C477" s="30" t="s">
        <v>109</v>
      </c>
      <c r="D477" s="30" t="s">
        <v>95</v>
      </c>
      <c r="E477" s="64">
        <f>193853.6+400</f>
        <v>194253.6</v>
      </c>
      <c r="F477" s="64">
        <v>198574.3</v>
      </c>
      <c r="G477" s="64">
        <v>208639.2</v>
      </c>
    </row>
    <row r="478" spans="1:7" outlineLevel="1" x14ac:dyDescent="0.25">
      <c r="A478" s="17" t="s">
        <v>99</v>
      </c>
      <c r="B478" s="18" t="s">
        <v>100</v>
      </c>
      <c r="C478" s="18"/>
      <c r="D478" s="18"/>
      <c r="E478" s="19">
        <f>E479</f>
        <v>177642.4</v>
      </c>
      <c r="F478" s="19">
        <f t="shared" ref="F478:G478" si="192">F479</f>
        <v>42096.200000000004</v>
      </c>
      <c r="G478" s="19">
        <f t="shared" si="192"/>
        <v>43356.6</v>
      </c>
    </row>
    <row r="479" spans="1:7" ht="31.5" outlineLevel="2" x14ac:dyDescent="0.25">
      <c r="A479" s="17" t="s">
        <v>101</v>
      </c>
      <c r="B479" s="18" t="s">
        <v>100</v>
      </c>
      <c r="C479" s="18" t="s">
        <v>102</v>
      </c>
      <c r="D479" s="18"/>
      <c r="E479" s="19">
        <f>E484+E488+E480</f>
        <v>177642.4</v>
      </c>
      <c r="F479" s="19">
        <f t="shared" ref="F479:G479" si="193">F484+F488+F480</f>
        <v>42096.200000000004</v>
      </c>
      <c r="G479" s="19">
        <f t="shared" si="193"/>
        <v>43356.6</v>
      </c>
    </row>
    <row r="480" spans="1:7" outlineLevel="2" x14ac:dyDescent="0.25">
      <c r="A480" s="65" t="s">
        <v>229</v>
      </c>
      <c r="B480" s="18" t="s">
        <v>100</v>
      </c>
      <c r="C480" s="18" t="s">
        <v>558</v>
      </c>
      <c r="D480" s="18"/>
      <c r="E480" s="19">
        <f>E481</f>
        <v>127580.8</v>
      </c>
      <c r="F480" s="19">
        <f t="shared" ref="F480:G482" si="194">F481</f>
        <v>0</v>
      </c>
      <c r="G480" s="19">
        <f t="shared" si="194"/>
        <v>0</v>
      </c>
    </row>
    <row r="481" spans="1:7" ht="31.5" outlineLevel="2" x14ac:dyDescent="0.25">
      <c r="A481" s="65" t="s">
        <v>556</v>
      </c>
      <c r="B481" s="18" t="s">
        <v>100</v>
      </c>
      <c r="C481" s="18" t="s">
        <v>559</v>
      </c>
      <c r="D481" s="18"/>
      <c r="E481" s="19">
        <f t="shared" ref="E481:E482" si="195">E482</f>
        <v>127580.8</v>
      </c>
      <c r="F481" s="19">
        <f t="shared" si="194"/>
        <v>0</v>
      </c>
      <c r="G481" s="19">
        <f t="shared" si="194"/>
        <v>0</v>
      </c>
    </row>
    <row r="482" spans="1:7" ht="47.25" outlineLevel="2" x14ac:dyDescent="0.25">
      <c r="A482" s="65" t="s">
        <v>557</v>
      </c>
      <c r="B482" s="18" t="s">
        <v>100</v>
      </c>
      <c r="C482" s="18" t="s">
        <v>560</v>
      </c>
      <c r="D482" s="18"/>
      <c r="E482" s="19">
        <f t="shared" si="195"/>
        <v>127580.8</v>
      </c>
      <c r="F482" s="19">
        <f t="shared" si="194"/>
        <v>0</v>
      </c>
      <c r="G482" s="19">
        <f t="shared" si="194"/>
        <v>0</v>
      </c>
    </row>
    <row r="483" spans="1:7" ht="47.25" outlineLevel="2" x14ac:dyDescent="0.25">
      <c r="A483" s="17" t="s">
        <v>94</v>
      </c>
      <c r="B483" s="18" t="s">
        <v>100</v>
      </c>
      <c r="C483" s="18" t="s">
        <v>560</v>
      </c>
      <c r="D483" s="18" t="s">
        <v>95</v>
      </c>
      <c r="E483" s="19">
        <f>9297.6+118283.2</f>
        <v>127580.8</v>
      </c>
      <c r="F483" s="19">
        <v>0</v>
      </c>
      <c r="G483" s="19">
        <v>0</v>
      </c>
    </row>
    <row r="484" spans="1:7" outlineLevel="2" x14ac:dyDescent="0.25">
      <c r="A484" s="17" t="s">
        <v>156</v>
      </c>
      <c r="B484" s="18" t="s">
        <v>100</v>
      </c>
      <c r="C484" s="18" t="s">
        <v>173</v>
      </c>
      <c r="D484" s="9"/>
      <c r="E484" s="19">
        <f>E485</f>
        <v>499.2</v>
      </c>
      <c r="F484" s="19">
        <f t="shared" ref="F484:G486" si="196">F485</f>
        <v>294.39999999999998</v>
      </c>
      <c r="G484" s="19">
        <f t="shared" si="196"/>
        <v>294.39999999999998</v>
      </c>
    </row>
    <row r="485" spans="1:7" ht="31.5" outlineLevel="2" x14ac:dyDescent="0.25">
      <c r="A485" s="17" t="s">
        <v>174</v>
      </c>
      <c r="B485" s="18" t="s">
        <v>100</v>
      </c>
      <c r="C485" s="18" t="s">
        <v>175</v>
      </c>
      <c r="D485" s="9"/>
      <c r="E485" s="19">
        <f>E486</f>
        <v>499.2</v>
      </c>
      <c r="F485" s="19">
        <f t="shared" si="196"/>
        <v>294.39999999999998</v>
      </c>
      <c r="G485" s="19">
        <f t="shared" si="196"/>
        <v>294.39999999999998</v>
      </c>
    </row>
    <row r="486" spans="1:7" ht="63" outlineLevel="2" x14ac:dyDescent="0.25">
      <c r="A486" s="17" t="s">
        <v>176</v>
      </c>
      <c r="B486" s="18" t="s">
        <v>100</v>
      </c>
      <c r="C486" s="18" t="s">
        <v>492</v>
      </c>
      <c r="D486" s="9"/>
      <c r="E486" s="19">
        <f>E487</f>
        <v>499.2</v>
      </c>
      <c r="F486" s="19">
        <f t="shared" si="196"/>
        <v>294.39999999999998</v>
      </c>
      <c r="G486" s="19">
        <f t="shared" si="196"/>
        <v>294.39999999999998</v>
      </c>
    </row>
    <row r="487" spans="1:7" ht="47.25" outlineLevel="2" x14ac:dyDescent="0.25">
      <c r="A487" s="17" t="s">
        <v>94</v>
      </c>
      <c r="B487" s="18" t="s">
        <v>100</v>
      </c>
      <c r="C487" s="18" t="s">
        <v>492</v>
      </c>
      <c r="D487" s="9">
        <v>600</v>
      </c>
      <c r="E487" s="19">
        <v>499.2</v>
      </c>
      <c r="F487" s="19">
        <v>294.39999999999998</v>
      </c>
      <c r="G487" s="19">
        <v>294.39999999999998</v>
      </c>
    </row>
    <row r="488" spans="1:7" outlineLevel="2" x14ac:dyDescent="0.25">
      <c r="A488" s="17" t="s">
        <v>145</v>
      </c>
      <c r="B488" s="18" t="s">
        <v>100</v>
      </c>
      <c r="C488" s="18" t="s">
        <v>177</v>
      </c>
      <c r="D488" s="9"/>
      <c r="E488" s="19">
        <f>E489</f>
        <v>49562.400000000001</v>
      </c>
      <c r="F488" s="19">
        <f t="shared" ref="F488:G488" si="197">F489</f>
        <v>41801.800000000003</v>
      </c>
      <c r="G488" s="19">
        <f t="shared" si="197"/>
        <v>43062.2</v>
      </c>
    </row>
    <row r="489" spans="1:7" ht="78.75" outlineLevel="2" x14ac:dyDescent="0.25">
      <c r="A489" s="17" t="s">
        <v>178</v>
      </c>
      <c r="B489" s="18" t="s">
        <v>100</v>
      </c>
      <c r="C489" s="18" t="s">
        <v>179</v>
      </c>
      <c r="D489" s="9"/>
      <c r="E489" s="19">
        <f>E490+E492+E494</f>
        <v>49562.400000000001</v>
      </c>
      <c r="F489" s="19">
        <f t="shared" ref="F489:G489" si="198">F490+F492+F494</f>
        <v>41801.800000000003</v>
      </c>
      <c r="G489" s="19">
        <f t="shared" si="198"/>
        <v>43062.2</v>
      </c>
    </row>
    <row r="490" spans="1:7" ht="31.5" outlineLevel="2" x14ac:dyDescent="0.25">
      <c r="A490" s="17" t="s">
        <v>180</v>
      </c>
      <c r="B490" s="18" t="s">
        <v>100</v>
      </c>
      <c r="C490" s="18" t="s">
        <v>181</v>
      </c>
      <c r="D490" s="9"/>
      <c r="E490" s="19">
        <f>E491</f>
        <v>3300</v>
      </c>
      <c r="F490" s="19">
        <f t="shared" ref="F490:G490" si="199">F491</f>
        <v>3000</v>
      </c>
      <c r="G490" s="19">
        <f t="shared" si="199"/>
        <v>3000</v>
      </c>
    </row>
    <row r="491" spans="1:7" ht="31.5" outlineLevel="2" x14ac:dyDescent="0.25">
      <c r="A491" s="17" t="s">
        <v>76</v>
      </c>
      <c r="B491" s="18" t="s">
        <v>100</v>
      </c>
      <c r="C491" s="18" t="s">
        <v>181</v>
      </c>
      <c r="D491" s="9">
        <v>200</v>
      </c>
      <c r="E491" s="19">
        <v>3300</v>
      </c>
      <c r="F491" s="19">
        <v>3000</v>
      </c>
      <c r="G491" s="19">
        <v>3000</v>
      </c>
    </row>
    <row r="492" spans="1:7" outlineLevel="2" x14ac:dyDescent="0.25">
      <c r="A492" s="51" t="s">
        <v>182</v>
      </c>
      <c r="B492" s="18" t="s">
        <v>100</v>
      </c>
      <c r="C492" s="18" t="s">
        <v>183</v>
      </c>
      <c r="D492" s="9"/>
      <c r="E492" s="19">
        <f>E493</f>
        <v>650</v>
      </c>
      <c r="F492" s="19">
        <f t="shared" ref="F492:G492" si="200">F493</f>
        <v>600</v>
      </c>
      <c r="G492" s="19">
        <f t="shared" si="200"/>
        <v>600</v>
      </c>
    </row>
    <row r="493" spans="1:7" ht="31.5" outlineLevel="2" x14ac:dyDescent="0.25">
      <c r="A493" s="17" t="s">
        <v>20</v>
      </c>
      <c r="B493" s="18" t="s">
        <v>100</v>
      </c>
      <c r="C493" s="18" t="s">
        <v>183</v>
      </c>
      <c r="D493" s="9">
        <v>300</v>
      </c>
      <c r="E493" s="19">
        <v>650</v>
      </c>
      <c r="F493" s="19">
        <v>600</v>
      </c>
      <c r="G493" s="19">
        <v>600</v>
      </c>
    </row>
    <row r="494" spans="1:7" ht="47.25" outlineLevel="2" x14ac:dyDescent="0.25">
      <c r="A494" s="17" t="s">
        <v>184</v>
      </c>
      <c r="B494" s="18" t="s">
        <v>100</v>
      </c>
      <c r="C494" s="18" t="s">
        <v>185</v>
      </c>
      <c r="D494" s="9"/>
      <c r="E494" s="19">
        <f>E495</f>
        <v>45612.4</v>
      </c>
      <c r="F494" s="19">
        <f t="shared" ref="F494:G494" si="201">F495</f>
        <v>38201.800000000003</v>
      </c>
      <c r="G494" s="19">
        <f t="shared" si="201"/>
        <v>39462.199999999997</v>
      </c>
    </row>
    <row r="495" spans="1:7" ht="47.25" outlineLevel="2" x14ac:dyDescent="0.25">
      <c r="A495" s="17" t="s">
        <v>94</v>
      </c>
      <c r="B495" s="18" t="s">
        <v>100</v>
      </c>
      <c r="C495" s="18" t="s">
        <v>185</v>
      </c>
      <c r="D495" s="9">
        <v>600</v>
      </c>
      <c r="E495" s="19">
        <f>36942.3+4344.5+4325.6</f>
        <v>45612.4</v>
      </c>
      <c r="F495" s="19">
        <v>38201.800000000003</v>
      </c>
      <c r="G495" s="19">
        <v>39462.199999999997</v>
      </c>
    </row>
    <row r="496" spans="1:7" outlineLevel="1" x14ac:dyDescent="0.25">
      <c r="A496" s="20" t="s">
        <v>264</v>
      </c>
      <c r="B496" s="18" t="s">
        <v>265</v>
      </c>
      <c r="C496" s="66"/>
      <c r="D496" s="9"/>
      <c r="E496" s="42">
        <f>E497</f>
        <v>232637.6</v>
      </c>
      <c r="F496" s="42">
        <f t="shared" ref="F496:G497" si="202">F497</f>
        <v>209211.59999999998</v>
      </c>
      <c r="G496" s="42">
        <f t="shared" si="202"/>
        <v>213913.5</v>
      </c>
    </row>
    <row r="497" spans="1:7" ht="31.5" outlineLevel="2" x14ac:dyDescent="0.25">
      <c r="A497" s="20" t="s">
        <v>210</v>
      </c>
      <c r="B497" s="18" t="s">
        <v>265</v>
      </c>
      <c r="C497" s="18" t="s">
        <v>211</v>
      </c>
      <c r="D497" s="9"/>
      <c r="E497" s="42">
        <f>E498</f>
        <v>232637.6</v>
      </c>
      <c r="F497" s="42">
        <f t="shared" si="202"/>
        <v>209211.59999999998</v>
      </c>
      <c r="G497" s="42">
        <f t="shared" si="202"/>
        <v>213913.5</v>
      </c>
    </row>
    <row r="498" spans="1:7" outlineLevel="2" x14ac:dyDescent="0.25">
      <c r="A498" s="8" t="s">
        <v>145</v>
      </c>
      <c r="B498" s="18" t="s">
        <v>265</v>
      </c>
      <c r="C498" s="18" t="s">
        <v>217</v>
      </c>
      <c r="D498" s="9"/>
      <c r="E498" s="42">
        <f>E499+E508+E520+E527</f>
        <v>232637.6</v>
      </c>
      <c r="F498" s="42">
        <f>F499+F508+F520+F527</f>
        <v>209211.59999999998</v>
      </c>
      <c r="G498" s="42">
        <f>G499+G508+G520+G527</f>
        <v>213913.5</v>
      </c>
    </row>
    <row r="499" spans="1:7" ht="63" outlineLevel="2" x14ac:dyDescent="0.25">
      <c r="A499" s="34" t="s">
        <v>500</v>
      </c>
      <c r="B499" s="18" t="s">
        <v>265</v>
      </c>
      <c r="C499" s="18" t="s">
        <v>218</v>
      </c>
      <c r="D499" s="9"/>
      <c r="E499" s="42">
        <f>E502+E505+E500</f>
        <v>15330.400000000001</v>
      </c>
      <c r="F499" s="42">
        <f t="shared" ref="F499:G499" si="203">F502+F505+F500</f>
        <v>2431.9</v>
      </c>
      <c r="G499" s="42">
        <f t="shared" si="203"/>
        <v>2431.9</v>
      </c>
    </row>
    <row r="500" spans="1:7" ht="47.25" outlineLevel="2" x14ac:dyDescent="0.25">
      <c r="A500" s="8" t="s">
        <v>152</v>
      </c>
      <c r="B500" s="18" t="s">
        <v>265</v>
      </c>
      <c r="C500" s="18" t="s">
        <v>219</v>
      </c>
      <c r="D500" s="9"/>
      <c r="E500" s="42">
        <f>E501</f>
        <v>12700</v>
      </c>
      <c r="F500" s="42">
        <f t="shared" ref="F500:G500" si="204">F501</f>
        <v>0</v>
      </c>
      <c r="G500" s="42">
        <f t="shared" si="204"/>
        <v>0</v>
      </c>
    </row>
    <row r="501" spans="1:7" ht="47.25" outlineLevel="2" x14ac:dyDescent="0.25">
      <c r="A501" s="8" t="s">
        <v>94</v>
      </c>
      <c r="B501" s="18" t="s">
        <v>265</v>
      </c>
      <c r="C501" s="18" t="s">
        <v>219</v>
      </c>
      <c r="D501" s="9">
        <v>600</v>
      </c>
      <c r="E501" s="42">
        <f>10000+2700</f>
        <v>12700</v>
      </c>
      <c r="F501" s="42">
        <v>0</v>
      </c>
      <c r="G501" s="42">
        <v>0</v>
      </c>
    </row>
    <row r="502" spans="1:7" ht="78.75" outlineLevel="2" x14ac:dyDescent="0.25">
      <c r="A502" s="33" t="s">
        <v>266</v>
      </c>
      <c r="B502" s="18" t="s">
        <v>265</v>
      </c>
      <c r="C502" s="18" t="s">
        <v>267</v>
      </c>
      <c r="D502" s="9"/>
      <c r="E502" s="42">
        <f>E503+E504</f>
        <v>1257.4000000000001</v>
      </c>
      <c r="F502" s="42">
        <f t="shared" ref="F502:G502" si="205">F503+F504</f>
        <v>1257.1000000000001</v>
      </c>
      <c r="G502" s="42">
        <f t="shared" si="205"/>
        <v>1257.1000000000001</v>
      </c>
    </row>
    <row r="503" spans="1:7" ht="94.5" outlineLevel="2" x14ac:dyDescent="0.25">
      <c r="A503" s="20" t="s">
        <v>13</v>
      </c>
      <c r="B503" s="18" t="s">
        <v>265</v>
      </c>
      <c r="C503" s="18" t="s">
        <v>267</v>
      </c>
      <c r="D503" s="9">
        <v>100</v>
      </c>
      <c r="E503" s="42">
        <f>429.6+129.8+235.6</f>
        <v>795.00000000000011</v>
      </c>
      <c r="F503" s="1">
        <v>795.00000000000011</v>
      </c>
      <c r="G503" s="1">
        <v>795.00000000000011</v>
      </c>
    </row>
    <row r="504" spans="1:7" ht="31.5" outlineLevel="2" x14ac:dyDescent="0.25">
      <c r="A504" s="20" t="s">
        <v>76</v>
      </c>
      <c r="B504" s="18" t="s">
        <v>265</v>
      </c>
      <c r="C504" s="18" t="s">
        <v>267</v>
      </c>
      <c r="D504" s="9">
        <v>200</v>
      </c>
      <c r="E504" s="42">
        <f>462.4</f>
        <v>462.4</v>
      </c>
      <c r="F504" s="1">
        <v>462.1</v>
      </c>
      <c r="G504" s="1">
        <v>462.1</v>
      </c>
    </row>
    <row r="505" spans="1:7" ht="157.5" outlineLevel="2" x14ac:dyDescent="0.25">
      <c r="A505" s="33" t="s">
        <v>245</v>
      </c>
      <c r="B505" s="18" t="s">
        <v>265</v>
      </c>
      <c r="C505" s="18" t="s">
        <v>246</v>
      </c>
      <c r="D505" s="9"/>
      <c r="E505" s="42">
        <f>E506+E507</f>
        <v>1373.0000000000002</v>
      </c>
      <c r="F505" s="42">
        <f t="shared" ref="F505:G505" si="206">F506+F507</f>
        <v>1174.8</v>
      </c>
      <c r="G505" s="42">
        <f t="shared" si="206"/>
        <v>1174.8</v>
      </c>
    </row>
    <row r="506" spans="1:7" ht="94.5" outlineLevel="2" x14ac:dyDescent="0.25">
      <c r="A506" s="20" t="s">
        <v>13</v>
      </c>
      <c r="B506" s="18" t="s">
        <v>265</v>
      </c>
      <c r="C506" s="18" t="s">
        <v>246</v>
      </c>
      <c r="D506" s="9">
        <v>100</v>
      </c>
      <c r="E506" s="42">
        <f>852.8+257.6+64.4</f>
        <v>1174.8000000000002</v>
      </c>
      <c r="F506" s="1">
        <v>1174.8</v>
      </c>
      <c r="G506" s="1">
        <v>1174.8</v>
      </c>
    </row>
    <row r="507" spans="1:7" ht="31.5" outlineLevel="2" x14ac:dyDescent="0.25">
      <c r="A507" s="20" t="s">
        <v>76</v>
      </c>
      <c r="B507" s="18" t="s">
        <v>265</v>
      </c>
      <c r="C507" s="18" t="s">
        <v>246</v>
      </c>
      <c r="D507" s="9">
        <v>200</v>
      </c>
      <c r="E507" s="42">
        <v>198.2</v>
      </c>
      <c r="F507" s="1">
        <v>0</v>
      </c>
      <c r="G507" s="1">
        <v>0</v>
      </c>
    </row>
    <row r="508" spans="1:7" ht="47.25" outlineLevel="2" x14ac:dyDescent="0.25">
      <c r="A508" s="33" t="s">
        <v>501</v>
      </c>
      <c r="B508" s="18" t="s">
        <v>265</v>
      </c>
      <c r="C508" s="23" t="s">
        <v>270</v>
      </c>
      <c r="D508" s="9"/>
      <c r="E508" s="42">
        <f>E509+E511+E513+E515+E517</f>
        <v>17011.7</v>
      </c>
      <c r="F508" s="42">
        <f t="shared" ref="F508:G508" si="207">F509+F511+F513+F515+F517</f>
        <v>8811.3000000000011</v>
      </c>
      <c r="G508" s="42">
        <f t="shared" si="207"/>
        <v>8773.2999999999993</v>
      </c>
    </row>
    <row r="509" spans="1:7" ht="63" outlineLevel="2" x14ac:dyDescent="0.25">
      <c r="A509" s="33" t="s">
        <v>271</v>
      </c>
      <c r="B509" s="18" t="s">
        <v>265</v>
      </c>
      <c r="C509" s="18" t="s">
        <v>272</v>
      </c>
      <c r="D509" s="9"/>
      <c r="E509" s="42">
        <f>E510</f>
        <v>63.3</v>
      </c>
      <c r="F509" s="42">
        <f t="shared" ref="F509:G509" si="208">F510</f>
        <v>64.2</v>
      </c>
      <c r="G509" s="42">
        <f t="shared" si="208"/>
        <v>64.2</v>
      </c>
    </row>
    <row r="510" spans="1:7" ht="31.5" outlineLevel="2" x14ac:dyDescent="0.25">
      <c r="A510" s="20" t="s">
        <v>76</v>
      </c>
      <c r="B510" s="18" t="s">
        <v>265</v>
      </c>
      <c r="C510" s="18" t="s">
        <v>272</v>
      </c>
      <c r="D510" s="9">
        <v>200</v>
      </c>
      <c r="E510" s="42">
        <v>63.3</v>
      </c>
      <c r="F510" s="1">
        <v>64.2</v>
      </c>
      <c r="G510" s="1">
        <v>64.2</v>
      </c>
    </row>
    <row r="511" spans="1:7" ht="110.25" outlineLevel="2" x14ac:dyDescent="0.25">
      <c r="A511" s="33" t="s">
        <v>273</v>
      </c>
      <c r="B511" s="18" t="s">
        <v>265</v>
      </c>
      <c r="C511" s="18" t="s">
        <v>274</v>
      </c>
      <c r="D511" s="9"/>
      <c r="E511" s="42">
        <f>E512</f>
        <v>2.2999999999999998</v>
      </c>
      <c r="F511" s="42">
        <f t="shared" ref="F511:G511" si="209">F512</f>
        <v>2.2999999999999998</v>
      </c>
      <c r="G511" s="42">
        <f t="shared" si="209"/>
        <v>2.2999999999999998</v>
      </c>
    </row>
    <row r="512" spans="1:7" ht="31.5" outlineLevel="2" x14ac:dyDescent="0.25">
      <c r="A512" s="20" t="s">
        <v>76</v>
      </c>
      <c r="B512" s="18" t="s">
        <v>265</v>
      </c>
      <c r="C512" s="18" t="s">
        <v>274</v>
      </c>
      <c r="D512" s="9">
        <v>200</v>
      </c>
      <c r="E512" s="42">
        <v>2.2999999999999998</v>
      </c>
      <c r="F512" s="1">
        <v>2.2999999999999998</v>
      </c>
      <c r="G512" s="1">
        <v>2.2999999999999998</v>
      </c>
    </row>
    <row r="513" spans="1:7" ht="94.5" outlineLevel="2" x14ac:dyDescent="0.25">
      <c r="A513" s="33" t="s">
        <v>275</v>
      </c>
      <c r="B513" s="18" t="s">
        <v>265</v>
      </c>
      <c r="C513" s="18" t="s">
        <v>276</v>
      </c>
      <c r="D513" s="24"/>
      <c r="E513" s="42">
        <f>E514</f>
        <v>800.3</v>
      </c>
      <c r="F513" s="42">
        <f t="shared" ref="F513:G513" si="210">F514</f>
        <v>800.3</v>
      </c>
      <c r="G513" s="42">
        <f t="shared" si="210"/>
        <v>800.3</v>
      </c>
    </row>
    <row r="514" spans="1:7" ht="31.5" outlineLevel="2" x14ac:dyDescent="0.25">
      <c r="A514" s="20" t="s">
        <v>76</v>
      </c>
      <c r="B514" s="18" t="s">
        <v>265</v>
      </c>
      <c r="C514" s="18" t="s">
        <v>276</v>
      </c>
      <c r="D514" s="24">
        <v>200</v>
      </c>
      <c r="E514" s="42">
        <v>800.3</v>
      </c>
      <c r="F514" s="1">
        <v>800.3</v>
      </c>
      <c r="G514" s="1">
        <v>800.3</v>
      </c>
    </row>
    <row r="515" spans="1:7" ht="31.5" outlineLevel="2" x14ac:dyDescent="0.25">
      <c r="A515" s="8" t="s">
        <v>277</v>
      </c>
      <c r="B515" s="18" t="s">
        <v>265</v>
      </c>
      <c r="C515" s="18" t="s">
        <v>278</v>
      </c>
      <c r="D515" s="9"/>
      <c r="E515" s="42">
        <f>E516</f>
        <v>2000</v>
      </c>
      <c r="F515" s="42">
        <f t="shared" ref="F515:G515" si="211">F516</f>
        <v>2000</v>
      </c>
      <c r="G515" s="42">
        <f t="shared" si="211"/>
        <v>2000</v>
      </c>
    </row>
    <row r="516" spans="1:7" ht="47.25" outlineLevel="2" x14ac:dyDescent="0.25">
      <c r="A516" s="20" t="s">
        <v>94</v>
      </c>
      <c r="B516" s="18" t="s">
        <v>265</v>
      </c>
      <c r="C516" s="18" t="s">
        <v>278</v>
      </c>
      <c r="D516" s="9">
        <v>600</v>
      </c>
      <c r="E516" s="42">
        <v>2000</v>
      </c>
      <c r="F516" s="1">
        <v>2000</v>
      </c>
      <c r="G516" s="1">
        <v>2000</v>
      </c>
    </row>
    <row r="517" spans="1:7" ht="47.25" outlineLevel="2" x14ac:dyDescent="0.25">
      <c r="A517" s="33" t="s">
        <v>279</v>
      </c>
      <c r="B517" s="18" t="s">
        <v>265</v>
      </c>
      <c r="C517" s="66" t="s">
        <v>280</v>
      </c>
      <c r="D517" s="9"/>
      <c r="E517" s="42">
        <f>E518+E519</f>
        <v>14145.8</v>
      </c>
      <c r="F517" s="42">
        <f t="shared" ref="F517:G517" si="212">F518+F519</f>
        <v>5944.5000000000009</v>
      </c>
      <c r="G517" s="42">
        <f t="shared" si="212"/>
        <v>5906.5</v>
      </c>
    </row>
    <row r="518" spans="1:7" ht="31.5" outlineLevel="2" x14ac:dyDescent="0.25">
      <c r="A518" s="20" t="s">
        <v>76</v>
      </c>
      <c r="B518" s="18" t="s">
        <v>265</v>
      </c>
      <c r="C518" s="66" t="s">
        <v>280</v>
      </c>
      <c r="D518" s="9">
        <v>200</v>
      </c>
      <c r="E518" s="42">
        <f>3+47.5</f>
        <v>50.5</v>
      </c>
      <c r="F518" s="1">
        <f>3+47.5</f>
        <v>50.5</v>
      </c>
      <c r="G518" s="1">
        <f>3+47.5</f>
        <v>50.5</v>
      </c>
    </row>
    <row r="519" spans="1:7" ht="31.5" outlineLevel="2" x14ac:dyDescent="0.25">
      <c r="A519" s="20" t="s">
        <v>20</v>
      </c>
      <c r="B519" s="18" t="s">
        <v>265</v>
      </c>
      <c r="C519" s="66" t="s">
        <v>280</v>
      </c>
      <c r="D519" s="9">
        <v>300</v>
      </c>
      <c r="E519" s="42">
        <f>14088+0.5+6.8</f>
        <v>14095.3</v>
      </c>
      <c r="F519" s="1">
        <f>14085.1-491.4-7699.7</f>
        <v>5894.0000000000009</v>
      </c>
      <c r="G519" s="1">
        <f>14085.1-493.7-7735.4</f>
        <v>5856</v>
      </c>
    </row>
    <row r="520" spans="1:7" ht="63" outlineLevel="2" x14ac:dyDescent="0.25">
      <c r="A520" s="33" t="s">
        <v>494</v>
      </c>
      <c r="B520" s="18" t="s">
        <v>265</v>
      </c>
      <c r="C520" s="23" t="s">
        <v>224</v>
      </c>
      <c r="D520" s="9"/>
      <c r="E520" s="42">
        <f>E521+E523+E525</f>
        <v>6809.6</v>
      </c>
      <c r="F520" s="42">
        <f t="shared" ref="F520:G520" si="213">F521+F523+F525</f>
        <v>3387.8</v>
      </c>
      <c r="G520" s="42">
        <f t="shared" si="213"/>
        <v>3387.8</v>
      </c>
    </row>
    <row r="521" spans="1:7" ht="31.5" outlineLevel="2" x14ac:dyDescent="0.25">
      <c r="A521" s="67" t="s">
        <v>251</v>
      </c>
      <c r="B521" s="18" t="s">
        <v>265</v>
      </c>
      <c r="C521" s="66" t="s">
        <v>252</v>
      </c>
      <c r="D521" s="9"/>
      <c r="E521" s="42">
        <f>E522</f>
        <v>1447</v>
      </c>
      <c r="F521" s="42">
        <f t="shared" ref="F521:G521" si="214">F522</f>
        <v>1447</v>
      </c>
      <c r="G521" s="42">
        <f t="shared" si="214"/>
        <v>1447</v>
      </c>
    </row>
    <row r="522" spans="1:7" ht="47.25" outlineLevel="2" x14ac:dyDescent="0.25">
      <c r="A522" s="20" t="s">
        <v>94</v>
      </c>
      <c r="B522" s="18" t="s">
        <v>265</v>
      </c>
      <c r="C522" s="66" t="s">
        <v>252</v>
      </c>
      <c r="D522" s="9">
        <v>600</v>
      </c>
      <c r="E522" s="42">
        <v>1447</v>
      </c>
      <c r="F522" s="1">
        <v>1447</v>
      </c>
      <c r="G522" s="1">
        <v>1447</v>
      </c>
    </row>
    <row r="523" spans="1:7" ht="31.5" outlineLevel="2" x14ac:dyDescent="0.25">
      <c r="A523" s="33" t="s">
        <v>281</v>
      </c>
      <c r="B523" s="18" t="s">
        <v>265</v>
      </c>
      <c r="C523" s="66" t="s">
        <v>282</v>
      </c>
      <c r="D523" s="24"/>
      <c r="E523" s="42">
        <f>E524</f>
        <v>3362.6000000000004</v>
      </c>
      <c r="F523" s="42">
        <f t="shared" ref="F523:G523" si="215">F524</f>
        <v>1940.8</v>
      </c>
      <c r="G523" s="42">
        <f t="shared" si="215"/>
        <v>1940.8</v>
      </c>
    </row>
    <row r="524" spans="1:7" ht="47.25" outlineLevel="2" x14ac:dyDescent="0.25">
      <c r="A524" s="20" t="s">
        <v>94</v>
      </c>
      <c r="B524" s="18" t="s">
        <v>265</v>
      </c>
      <c r="C524" s="66" t="s">
        <v>282</v>
      </c>
      <c r="D524" s="24">
        <v>600</v>
      </c>
      <c r="E524" s="42">
        <f>3368.3-5.7</f>
        <v>3362.6000000000004</v>
      </c>
      <c r="F524" s="1">
        <v>1940.8</v>
      </c>
      <c r="G524" s="1">
        <v>1940.8</v>
      </c>
    </row>
    <row r="525" spans="1:7" ht="94.5" outlineLevel="2" x14ac:dyDescent="0.25">
      <c r="A525" s="68" t="s">
        <v>635</v>
      </c>
      <c r="B525" s="18" t="s">
        <v>265</v>
      </c>
      <c r="C525" s="18" t="s">
        <v>636</v>
      </c>
      <c r="D525" s="18"/>
      <c r="E525" s="42">
        <f>E526</f>
        <v>2000</v>
      </c>
      <c r="F525" s="42">
        <f t="shared" ref="F525:G525" si="216">F526</f>
        <v>0</v>
      </c>
      <c r="G525" s="42">
        <f t="shared" si="216"/>
        <v>0</v>
      </c>
    </row>
    <row r="526" spans="1:7" ht="47.25" outlineLevel="2" x14ac:dyDescent="0.25">
      <c r="A526" s="20" t="s">
        <v>94</v>
      </c>
      <c r="B526" s="18" t="s">
        <v>265</v>
      </c>
      <c r="C526" s="18" t="s">
        <v>636</v>
      </c>
      <c r="D526" s="18" t="s">
        <v>95</v>
      </c>
      <c r="E526" s="42">
        <v>2000</v>
      </c>
      <c r="F526" s="1">
        <v>0</v>
      </c>
      <c r="G526" s="1">
        <v>0</v>
      </c>
    </row>
    <row r="527" spans="1:7" ht="47.25" outlineLevel="2" x14ac:dyDescent="0.25">
      <c r="A527" s="33" t="s">
        <v>502</v>
      </c>
      <c r="B527" s="18" t="s">
        <v>265</v>
      </c>
      <c r="C527" s="23" t="s">
        <v>283</v>
      </c>
      <c r="D527" s="9"/>
      <c r="E527" s="42">
        <f>E528+E531+E537+E533</f>
        <v>193485.9</v>
      </c>
      <c r="F527" s="42">
        <f t="shared" ref="F527:G527" si="217">F528+F531+F537+F533</f>
        <v>194580.59999999998</v>
      </c>
      <c r="G527" s="42">
        <f t="shared" si="217"/>
        <v>199320.5</v>
      </c>
    </row>
    <row r="528" spans="1:7" ht="47.25" outlineLevel="2" x14ac:dyDescent="0.25">
      <c r="A528" s="33" t="s">
        <v>160</v>
      </c>
      <c r="B528" s="18" t="s">
        <v>265</v>
      </c>
      <c r="C528" s="66" t="s">
        <v>284</v>
      </c>
      <c r="D528" s="9"/>
      <c r="E528" s="42">
        <f>E529+E530</f>
        <v>55813.100000000006</v>
      </c>
      <c r="F528" s="42">
        <f t="shared" ref="F528:G528" si="218">F529+F530</f>
        <v>53253.3</v>
      </c>
      <c r="G528" s="42">
        <f t="shared" si="218"/>
        <v>53253.3</v>
      </c>
    </row>
    <row r="529" spans="1:7" ht="94.5" outlineLevel="2" x14ac:dyDescent="0.25">
      <c r="A529" s="20" t="s">
        <v>13</v>
      </c>
      <c r="B529" s="18" t="s">
        <v>265</v>
      </c>
      <c r="C529" s="66" t="s">
        <v>284</v>
      </c>
      <c r="D529" s="9">
        <v>100</v>
      </c>
      <c r="E529" s="42">
        <f>38288+11563+60.9-510.6+4857.8+100</f>
        <v>54359.100000000006</v>
      </c>
      <c r="F529" s="1">
        <f>39660.8+11977.6+60.9</f>
        <v>51699.3</v>
      </c>
      <c r="G529" s="1">
        <f>39660.8+11977.6+60.9</f>
        <v>51699.3</v>
      </c>
    </row>
    <row r="530" spans="1:7" ht="31.5" outlineLevel="2" x14ac:dyDescent="0.25">
      <c r="A530" s="20" t="s">
        <v>76</v>
      </c>
      <c r="B530" s="18" t="s">
        <v>265</v>
      </c>
      <c r="C530" s="66" t="s">
        <v>284</v>
      </c>
      <c r="D530" s="9">
        <v>200</v>
      </c>
      <c r="E530" s="42">
        <f>1614.9-60.9-100</f>
        <v>1454</v>
      </c>
      <c r="F530" s="42">
        <f>1614.9-60.9</f>
        <v>1554</v>
      </c>
      <c r="G530" s="1">
        <f>1614.9-60.9</f>
        <v>1554</v>
      </c>
    </row>
    <row r="531" spans="1:7" ht="38.25" customHeight="1" outlineLevel="2" x14ac:dyDescent="0.25">
      <c r="A531" s="8" t="s">
        <v>152</v>
      </c>
      <c r="B531" s="18" t="s">
        <v>265</v>
      </c>
      <c r="C531" s="66" t="s">
        <v>285</v>
      </c>
      <c r="D531" s="9"/>
      <c r="E531" s="42">
        <f>E532</f>
        <v>10212.9</v>
      </c>
      <c r="F531" s="42">
        <f t="shared" ref="F531:G531" si="219">F532</f>
        <v>10610.7</v>
      </c>
      <c r="G531" s="42">
        <f t="shared" si="219"/>
        <v>11024.5</v>
      </c>
    </row>
    <row r="532" spans="1:7" ht="47.25" outlineLevel="2" x14ac:dyDescent="0.25">
      <c r="A532" s="20" t="s">
        <v>94</v>
      </c>
      <c r="B532" s="18" t="s">
        <v>265</v>
      </c>
      <c r="C532" s="66" t="s">
        <v>285</v>
      </c>
      <c r="D532" s="9">
        <v>600</v>
      </c>
      <c r="E532" s="42">
        <v>10212.9</v>
      </c>
      <c r="F532" s="1">
        <v>10610.7</v>
      </c>
      <c r="G532" s="1">
        <v>11024.5</v>
      </c>
    </row>
    <row r="533" spans="1:7" ht="47.25" outlineLevel="2" x14ac:dyDescent="0.25">
      <c r="A533" s="20" t="s">
        <v>286</v>
      </c>
      <c r="B533" s="18" t="s">
        <v>265</v>
      </c>
      <c r="C533" s="66" t="s">
        <v>287</v>
      </c>
      <c r="D533" s="9"/>
      <c r="E533" s="42">
        <f>E534+E535+E536</f>
        <v>107542.59999999999</v>
      </c>
      <c r="F533" s="42">
        <f t="shared" ref="F533:G533" si="220">F534+F535+F536</f>
        <v>110799.29999999999</v>
      </c>
      <c r="G533" s="42">
        <f t="shared" si="220"/>
        <v>115125.4</v>
      </c>
    </row>
    <row r="534" spans="1:7" ht="94.5" outlineLevel="2" x14ac:dyDescent="0.25">
      <c r="A534" s="20" t="s">
        <v>13</v>
      </c>
      <c r="B534" s="18" t="s">
        <v>265</v>
      </c>
      <c r="C534" s="66" t="s">
        <v>287</v>
      </c>
      <c r="D534" s="9">
        <v>100</v>
      </c>
      <c r="E534" s="42">
        <f>103993</f>
        <v>103993</v>
      </c>
      <c r="F534" s="1">
        <v>108152.7</v>
      </c>
      <c r="G534" s="1">
        <v>112478.8</v>
      </c>
    </row>
    <row r="535" spans="1:7" ht="31.5" outlineLevel="2" x14ac:dyDescent="0.25">
      <c r="A535" s="20" t="s">
        <v>76</v>
      </c>
      <c r="B535" s="18" t="s">
        <v>265</v>
      </c>
      <c r="C535" s="66" t="s">
        <v>287</v>
      </c>
      <c r="D535" s="9">
        <v>200</v>
      </c>
      <c r="E535" s="42">
        <f>2644.9+903</f>
        <v>3547.9</v>
      </c>
      <c r="F535" s="1">
        <v>2644.9</v>
      </c>
      <c r="G535" s="1">
        <v>2644.9</v>
      </c>
    </row>
    <row r="536" spans="1:7" outlineLevel="2" x14ac:dyDescent="0.25">
      <c r="A536" s="8" t="s">
        <v>33</v>
      </c>
      <c r="B536" s="18" t="s">
        <v>265</v>
      </c>
      <c r="C536" s="66" t="s">
        <v>287</v>
      </c>
      <c r="D536" s="9">
        <v>800</v>
      </c>
      <c r="E536" s="42">
        <v>1.7</v>
      </c>
      <c r="F536" s="1">
        <v>1.7</v>
      </c>
      <c r="G536" s="1">
        <v>1.7</v>
      </c>
    </row>
    <row r="537" spans="1:7" ht="63" outlineLevel="2" x14ac:dyDescent="0.25">
      <c r="A537" s="33" t="s">
        <v>288</v>
      </c>
      <c r="B537" s="18" t="s">
        <v>265</v>
      </c>
      <c r="C537" s="23" t="s">
        <v>289</v>
      </c>
      <c r="D537" s="9"/>
      <c r="E537" s="42">
        <f>E538+E539</f>
        <v>19917.3</v>
      </c>
      <c r="F537" s="42">
        <f t="shared" ref="F537:G537" si="221">F538+F539</f>
        <v>19917.3</v>
      </c>
      <c r="G537" s="42">
        <f t="shared" si="221"/>
        <v>19917.3</v>
      </c>
    </row>
    <row r="538" spans="1:7" ht="94.5" outlineLevel="2" x14ac:dyDescent="0.25">
      <c r="A538" s="20" t="s">
        <v>13</v>
      </c>
      <c r="B538" s="18" t="s">
        <v>265</v>
      </c>
      <c r="C538" s="23" t="s">
        <v>289</v>
      </c>
      <c r="D538" s="24">
        <v>100</v>
      </c>
      <c r="E538" s="42">
        <f>14990.3+4527</f>
        <v>19517.3</v>
      </c>
      <c r="F538" s="1">
        <f>E538</f>
        <v>19517.3</v>
      </c>
      <c r="G538" s="1">
        <f>F538</f>
        <v>19517.3</v>
      </c>
    </row>
    <row r="539" spans="1:7" ht="31.5" outlineLevel="2" x14ac:dyDescent="0.25">
      <c r="A539" s="20" t="s">
        <v>76</v>
      </c>
      <c r="B539" s="18" t="s">
        <v>265</v>
      </c>
      <c r="C539" s="23" t="s">
        <v>289</v>
      </c>
      <c r="D539" s="24">
        <v>200</v>
      </c>
      <c r="E539" s="42">
        <v>400</v>
      </c>
      <c r="F539" s="1">
        <v>400</v>
      </c>
      <c r="G539" s="1">
        <v>400</v>
      </c>
    </row>
    <row r="540" spans="1:7" x14ac:dyDescent="0.25">
      <c r="A540" s="69" t="s">
        <v>103</v>
      </c>
      <c r="B540" s="70" t="s">
        <v>104</v>
      </c>
      <c r="C540" s="70"/>
      <c r="D540" s="38"/>
      <c r="E540" s="71">
        <f>E541+E558</f>
        <v>467977.19999999995</v>
      </c>
      <c r="F540" s="71">
        <f>F541+F558</f>
        <v>405123.2</v>
      </c>
      <c r="G540" s="71">
        <f>G541+G558</f>
        <v>423553.19999999995</v>
      </c>
    </row>
    <row r="541" spans="1:7" outlineLevel="1" x14ac:dyDescent="0.25">
      <c r="A541" s="35" t="s">
        <v>105</v>
      </c>
      <c r="B541" s="30" t="s">
        <v>106</v>
      </c>
      <c r="C541" s="30"/>
      <c r="D541" s="3"/>
      <c r="E541" s="64">
        <f>E542</f>
        <v>376092.79999999993</v>
      </c>
      <c r="F541" s="64">
        <f t="shared" ref="F541:G556" si="222">F542</f>
        <v>312946.90000000002</v>
      </c>
      <c r="G541" s="64">
        <f t="shared" si="222"/>
        <v>330680.5</v>
      </c>
    </row>
    <row r="542" spans="1:7" ht="31.5" outlineLevel="2" x14ac:dyDescent="0.25">
      <c r="A542" s="35" t="s">
        <v>154</v>
      </c>
      <c r="B542" s="30" t="s">
        <v>106</v>
      </c>
      <c r="C542" s="30" t="s">
        <v>96</v>
      </c>
      <c r="D542" s="30"/>
      <c r="E542" s="64">
        <f>E554+E543+E547</f>
        <v>376092.79999999993</v>
      </c>
      <c r="F542" s="64">
        <f t="shared" ref="F542:G542" si="223">F554+F543</f>
        <v>312946.90000000002</v>
      </c>
      <c r="G542" s="64">
        <f t="shared" si="223"/>
        <v>330680.5</v>
      </c>
    </row>
    <row r="543" spans="1:7" outlineLevel="2" x14ac:dyDescent="0.25">
      <c r="A543" s="65" t="s">
        <v>229</v>
      </c>
      <c r="B543" s="18" t="s">
        <v>106</v>
      </c>
      <c r="C543" s="18" t="s">
        <v>553</v>
      </c>
      <c r="D543" s="18"/>
      <c r="E543" s="64">
        <f>E544</f>
        <v>8510.6</v>
      </c>
      <c r="F543" s="72">
        <f t="shared" ref="F543:G545" si="224">F544</f>
        <v>0</v>
      </c>
      <c r="G543" s="72">
        <f t="shared" si="224"/>
        <v>0</v>
      </c>
    </row>
    <row r="544" spans="1:7" ht="31.5" outlineLevel="2" x14ac:dyDescent="0.25">
      <c r="A544" s="65" t="s">
        <v>551</v>
      </c>
      <c r="B544" s="18" t="s">
        <v>106</v>
      </c>
      <c r="C544" s="18" t="s">
        <v>554</v>
      </c>
      <c r="D544" s="18"/>
      <c r="E544" s="64">
        <f t="shared" ref="E544:E545" si="225">E545</f>
        <v>8510.6</v>
      </c>
      <c r="F544" s="72">
        <f t="shared" si="224"/>
        <v>0</v>
      </c>
      <c r="G544" s="72">
        <f t="shared" si="224"/>
        <v>0</v>
      </c>
    </row>
    <row r="545" spans="1:7" ht="31.5" outlineLevel="2" x14ac:dyDescent="0.25">
      <c r="A545" s="65" t="s">
        <v>552</v>
      </c>
      <c r="B545" s="18" t="s">
        <v>106</v>
      </c>
      <c r="C545" s="18" t="s">
        <v>555</v>
      </c>
      <c r="D545" s="18"/>
      <c r="E545" s="64">
        <f t="shared" si="225"/>
        <v>8510.6</v>
      </c>
      <c r="F545" s="72">
        <f t="shared" si="224"/>
        <v>0</v>
      </c>
      <c r="G545" s="72">
        <f t="shared" si="224"/>
        <v>0</v>
      </c>
    </row>
    <row r="546" spans="1:7" ht="47.25" outlineLevel="2" x14ac:dyDescent="0.25">
      <c r="A546" s="20" t="s">
        <v>94</v>
      </c>
      <c r="B546" s="18" t="s">
        <v>106</v>
      </c>
      <c r="C546" s="18" t="s">
        <v>555</v>
      </c>
      <c r="D546" s="18" t="s">
        <v>95</v>
      </c>
      <c r="E546" s="64">
        <f>510.6+8000</f>
        <v>8510.6</v>
      </c>
      <c r="F546" s="72">
        <v>0</v>
      </c>
      <c r="G546" s="72">
        <v>0</v>
      </c>
    </row>
    <row r="547" spans="1:7" outlineLevel="2" x14ac:dyDescent="0.25">
      <c r="A547" s="20" t="s">
        <v>156</v>
      </c>
      <c r="B547" s="18" t="s">
        <v>106</v>
      </c>
      <c r="C547" s="18" t="s">
        <v>97</v>
      </c>
      <c r="D547" s="18"/>
      <c r="E547" s="64">
        <f>E548</f>
        <v>3401.1</v>
      </c>
      <c r="F547" s="72">
        <f t="shared" ref="F547:G548" si="226">F548</f>
        <v>0</v>
      </c>
      <c r="G547" s="72">
        <f t="shared" si="226"/>
        <v>0</v>
      </c>
    </row>
    <row r="548" spans="1:7" ht="47.25" outlineLevel="2" x14ac:dyDescent="0.25">
      <c r="A548" s="33" t="s">
        <v>567</v>
      </c>
      <c r="B548" s="18" t="s">
        <v>106</v>
      </c>
      <c r="C548" s="18" t="s">
        <v>571</v>
      </c>
      <c r="D548" s="18"/>
      <c r="E548" s="64">
        <f>E549</f>
        <v>3401.1</v>
      </c>
      <c r="F548" s="72">
        <f t="shared" si="226"/>
        <v>0</v>
      </c>
      <c r="G548" s="72">
        <f t="shared" si="226"/>
        <v>0</v>
      </c>
    </row>
    <row r="549" spans="1:7" ht="47.25" outlineLevel="2" x14ac:dyDescent="0.25">
      <c r="A549" s="20" t="s">
        <v>568</v>
      </c>
      <c r="B549" s="18" t="s">
        <v>106</v>
      </c>
      <c r="C549" s="18" t="s">
        <v>572</v>
      </c>
      <c r="D549" s="18"/>
      <c r="E549" s="64">
        <f>E550+E552</f>
        <v>3401.1</v>
      </c>
      <c r="F549" s="72">
        <f t="shared" ref="F549:G549" si="227">F550+F552</f>
        <v>0</v>
      </c>
      <c r="G549" s="72">
        <f t="shared" si="227"/>
        <v>0</v>
      </c>
    </row>
    <row r="550" spans="1:7" ht="94.5" outlineLevel="2" x14ac:dyDescent="0.25">
      <c r="A550" s="20" t="s">
        <v>569</v>
      </c>
      <c r="B550" s="18" t="s">
        <v>106</v>
      </c>
      <c r="C550" s="18" t="s">
        <v>573</v>
      </c>
      <c r="D550" s="18"/>
      <c r="E550" s="64">
        <f>E551</f>
        <v>1048</v>
      </c>
      <c r="F550" s="72">
        <f t="shared" ref="F550:G550" si="228">F551</f>
        <v>0</v>
      </c>
      <c r="G550" s="72">
        <f t="shared" si="228"/>
        <v>0</v>
      </c>
    </row>
    <row r="551" spans="1:7" ht="47.25" outlineLevel="2" x14ac:dyDescent="0.25">
      <c r="A551" s="20" t="s">
        <v>94</v>
      </c>
      <c r="B551" s="18" t="s">
        <v>106</v>
      </c>
      <c r="C551" s="18" t="s">
        <v>573</v>
      </c>
      <c r="D551" s="18" t="s">
        <v>95</v>
      </c>
      <c r="E551" s="64">
        <f>72.7+975.3</f>
        <v>1048</v>
      </c>
      <c r="F551" s="72">
        <v>0</v>
      </c>
      <c r="G551" s="72">
        <v>0</v>
      </c>
    </row>
    <row r="552" spans="1:7" ht="78.75" outlineLevel="2" x14ac:dyDescent="0.25">
      <c r="A552" s="20" t="s">
        <v>570</v>
      </c>
      <c r="B552" s="18" t="s">
        <v>106</v>
      </c>
      <c r="C552" s="18" t="s">
        <v>574</v>
      </c>
      <c r="D552" s="18"/>
      <c r="E552" s="64">
        <f>E553</f>
        <v>2353.1</v>
      </c>
      <c r="F552" s="72">
        <f t="shared" ref="F552:G552" si="229">F553</f>
        <v>0</v>
      </c>
      <c r="G552" s="72">
        <f t="shared" si="229"/>
        <v>0</v>
      </c>
    </row>
    <row r="553" spans="1:7" ht="47.25" outlineLevel="2" x14ac:dyDescent="0.25">
      <c r="A553" s="20" t="s">
        <v>94</v>
      </c>
      <c r="B553" s="18" t="s">
        <v>106</v>
      </c>
      <c r="C553" s="18" t="s">
        <v>574</v>
      </c>
      <c r="D553" s="18" t="s">
        <v>95</v>
      </c>
      <c r="E553" s="64">
        <f>353.1+2000</f>
        <v>2353.1</v>
      </c>
      <c r="F553" s="72">
        <v>0</v>
      </c>
      <c r="G553" s="72">
        <v>0</v>
      </c>
    </row>
    <row r="554" spans="1:7" outlineLevel="2" x14ac:dyDescent="0.25">
      <c r="A554" s="35" t="s">
        <v>145</v>
      </c>
      <c r="B554" s="30" t="s">
        <v>106</v>
      </c>
      <c r="C554" s="30" t="s">
        <v>107</v>
      </c>
      <c r="D554" s="30"/>
      <c r="E554" s="64">
        <f>E555</f>
        <v>364181.1</v>
      </c>
      <c r="F554" s="64">
        <f>F555</f>
        <v>312946.90000000002</v>
      </c>
      <c r="G554" s="64">
        <f>G555</f>
        <v>330680.5</v>
      </c>
    </row>
    <row r="555" spans="1:7" ht="78.75" outlineLevel="2" x14ac:dyDescent="0.25">
      <c r="A555" s="35" t="s">
        <v>155</v>
      </c>
      <c r="B555" s="30" t="s">
        <v>106</v>
      </c>
      <c r="C555" s="30" t="s">
        <v>108</v>
      </c>
      <c r="D555" s="3"/>
      <c r="E555" s="64">
        <f>E556</f>
        <v>364181.1</v>
      </c>
      <c r="F555" s="64">
        <f t="shared" si="222"/>
        <v>312946.90000000002</v>
      </c>
      <c r="G555" s="64">
        <f t="shared" si="222"/>
        <v>330680.5</v>
      </c>
    </row>
    <row r="556" spans="1:7" ht="47.25" outlineLevel="2" x14ac:dyDescent="0.25">
      <c r="A556" s="35" t="s">
        <v>152</v>
      </c>
      <c r="B556" s="30" t="s">
        <v>106</v>
      </c>
      <c r="C556" s="30" t="s">
        <v>109</v>
      </c>
      <c r="D556" s="30"/>
      <c r="E556" s="64">
        <f>E557</f>
        <v>364181.1</v>
      </c>
      <c r="F556" s="64">
        <f t="shared" si="222"/>
        <v>312946.90000000002</v>
      </c>
      <c r="G556" s="64">
        <f t="shared" si="222"/>
        <v>330680.5</v>
      </c>
    </row>
    <row r="557" spans="1:7" ht="47.25" outlineLevel="2" x14ac:dyDescent="0.25">
      <c r="A557" s="35" t="s">
        <v>94</v>
      </c>
      <c r="B557" s="30" t="s">
        <v>106</v>
      </c>
      <c r="C557" s="30" t="s">
        <v>109</v>
      </c>
      <c r="D557" s="30" t="s">
        <v>95</v>
      </c>
      <c r="E557" s="64">
        <f>106170+121093.6+74467.9+15250+4625.6-491.8+18992.2+24073.6</f>
        <v>364181.1</v>
      </c>
      <c r="F557" s="64">
        <v>312946.90000000002</v>
      </c>
      <c r="G557" s="64">
        <v>330680.5</v>
      </c>
    </row>
    <row r="558" spans="1:7" ht="31.5" outlineLevel="1" x14ac:dyDescent="0.25">
      <c r="A558" s="35" t="s">
        <v>110</v>
      </c>
      <c r="B558" s="30" t="s">
        <v>111</v>
      </c>
      <c r="C558" s="30"/>
      <c r="D558" s="30"/>
      <c r="E558" s="64">
        <f>E559</f>
        <v>91884.400000000009</v>
      </c>
      <c r="F558" s="64">
        <f t="shared" ref="F558:G558" si="230">F559</f>
        <v>92176.3</v>
      </c>
      <c r="G558" s="64">
        <f t="shared" si="230"/>
        <v>92872.699999999983</v>
      </c>
    </row>
    <row r="559" spans="1:7" ht="31.5" outlineLevel="2" x14ac:dyDescent="0.25">
      <c r="A559" s="35" t="s">
        <v>154</v>
      </c>
      <c r="B559" s="30" t="s">
        <v>111</v>
      </c>
      <c r="C559" s="30" t="s">
        <v>96</v>
      </c>
      <c r="D559" s="30"/>
      <c r="E559" s="64">
        <f>E560+E564</f>
        <v>91884.400000000009</v>
      </c>
      <c r="F559" s="64">
        <f t="shared" ref="F559:G559" si="231">F560+F564</f>
        <v>92176.3</v>
      </c>
      <c r="G559" s="64">
        <f t="shared" si="231"/>
        <v>92872.699999999983</v>
      </c>
    </row>
    <row r="560" spans="1:7" outlineLevel="2" x14ac:dyDescent="0.25">
      <c r="A560" s="35" t="s">
        <v>156</v>
      </c>
      <c r="B560" s="30" t="s">
        <v>111</v>
      </c>
      <c r="C560" s="30" t="s">
        <v>97</v>
      </c>
      <c r="D560" s="30"/>
      <c r="E560" s="64">
        <f>E561</f>
        <v>1414.4</v>
      </c>
      <c r="F560" s="64">
        <f t="shared" ref="F560:G560" si="232">F561</f>
        <v>1414.4</v>
      </c>
      <c r="G560" s="64">
        <f t="shared" si="232"/>
        <v>1414.4</v>
      </c>
    </row>
    <row r="561" spans="1:7" ht="47.25" outlineLevel="2" x14ac:dyDescent="0.25">
      <c r="A561" s="35" t="s">
        <v>157</v>
      </c>
      <c r="B561" s="30" t="s">
        <v>111</v>
      </c>
      <c r="C561" s="30" t="s">
        <v>98</v>
      </c>
      <c r="D561" s="30"/>
      <c r="E561" s="64">
        <f>E562</f>
        <v>1414.4</v>
      </c>
      <c r="F561" s="64">
        <f>F562</f>
        <v>1414.4</v>
      </c>
      <c r="G561" s="64">
        <f>G562</f>
        <v>1414.4</v>
      </c>
    </row>
    <row r="562" spans="1:7" ht="126" outlineLevel="2" x14ac:dyDescent="0.25">
      <c r="A562" s="35" t="s">
        <v>158</v>
      </c>
      <c r="B562" s="30" t="s">
        <v>111</v>
      </c>
      <c r="C562" s="30" t="s">
        <v>159</v>
      </c>
      <c r="D562" s="30"/>
      <c r="E562" s="64">
        <f>E563</f>
        <v>1414.4</v>
      </c>
      <c r="F562" s="64">
        <f>F563</f>
        <v>1414.4</v>
      </c>
      <c r="G562" s="64">
        <f>G563</f>
        <v>1414.4</v>
      </c>
    </row>
    <row r="563" spans="1:7" ht="47.25" outlineLevel="2" x14ac:dyDescent="0.25">
      <c r="A563" s="35" t="s">
        <v>94</v>
      </c>
      <c r="B563" s="30" t="s">
        <v>111</v>
      </c>
      <c r="C563" s="30" t="s">
        <v>159</v>
      </c>
      <c r="D563" s="30">
        <v>600</v>
      </c>
      <c r="E563" s="64">
        <v>1414.4</v>
      </c>
      <c r="F563" s="64">
        <v>1414.4</v>
      </c>
      <c r="G563" s="64">
        <v>1414.4</v>
      </c>
    </row>
    <row r="564" spans="1:7" outlineLevel="2" x14ac:dyDescent="0.25">
      <c r="A564" s="35" t="s">
        <v>145</v>
      </c>
      <c r="B564" s="30" t="s">
        <v>111</v>
      </c>
      <c r="C564" s="30" t="s">
        <v>107</v>
      </c>
      <c r="D564" s="30"/>
      <c r="E564" s="64">
        <f>E565+E571+E576</f>
        <v>90470.000000000015</v>
      </c>
      <c r="F564" s="64">
        <f t="shared" ref="F564:G564" si="233">F565+F571+F576</f>
        <v>90761.900000000009</v>
      </c>
      <c r="G564" s="64">
        <f t="shared" si="233"/>
        <v>91458.299999999988</v>
      </c>
    </row>
    <row r="565" spans="1:7" ht="78.75" outlineLevel="2" x14ac:dyDescent="0.25">
      <c r="A565" s="35" t="s">
        <v>155</v>
      </c>
      <c r="B565" s="30" t="s">
        <v>111</v>
      </c>
      <c r="C565" s="30" t="s">
        <v>108</v>
      </c>
      <c r="D565" s="30"/>
      <c r="E565" s="64">
        <f>E566+E569</f>
        <v>88593.900000000009</v>
      </c>
      <c r="F565" s="64">
        <f t="shared" ref="F565:G565" si="234">F566+F569</f>
        <v>89077.900000000009</v>
      </c>
      <c r="G565" s="64">
        <f t="shared" si="234"/>
        <v>89774.299999999988</v>
      </c>
    </row>
    <row r="566" spans="1:7" ht="47.25" outlineLevel="2" x14ac:dyDescent="0.25">
      <c r="A566" s="35" t="s">
        <v>160</v>
      </c>
      <c r="B566" s="30" t="s">
        <v>111</v>
      </c>
      <c r="C566" s="30" t="s">
        <v>161</v>
      </c>
      <c r="D566" s="30"/>
      <c r="E566" s="64">
        <f>E567+E568</f>
        <v>14338.3</v>
      </c>
      <c r="F566" s="64">
        <f t="shared" ref="F566:G566" si="235">F567+F568</f>
        <v>14142.3</v>
      </c>
      <c r="G566" s="64">
        <f t="shared" si="235"/>
        <v>14131.4</v>
      </c>
    </row>
    <row r="567" spans="1:7" ht="94.5" outlineLevel="2" x14ac:dyDescent="0.25">
      <c r="A567" s="35" t="s">
        <v>75</v>
      </c>
      <c r="B567" s="30" t="s">
        <v>111</v>
      </c>
      <c r="C567" s="30" t="s">
        <v>161</v>
      </c>
      <c r="D567" s="30" t="s">
        <v>38</v>
      </c>
      <c r="E567" s="64">
        <f>13183.3+636</f>
        <v>13819.3</v>
      </c>
      <c r="F567" s="64">
        <v>13623.3</v>
      </c>
      <c r="G567" s="64">
        <v>13623.3</v>
      </c>
    </row>
    <row r="568" spans="1:7" ht="45.75" customHeight="1" outlineLevel="2" x14ac:dyDescent="0.25">
      <c r="A568" s="35" t="s">
        <v>76</v>
      </c>
      <c r="B568" s="30" t="s">
        <v>111</v>
      </c>
      <c r="C568" s="30" t="s">
        <v>161</v>
      </c>
      <c r="D568" s="30" t="s">
        <v>39</v>
      </c>
      <c r="E568" s="64">
        <v>519</v>
      </c>
      <c r="F568" s="64">
        <v>519</v>
      </c>
      <c r="G568" s="64">
        <v>508.1</v>
      </c>
    </row>
    <row r="569" spans="1:7" ht="47.25" outlineLevel="2" x14ac:dyDescent="0.25">
      <c r="A569" s="35" t="s">
        <v>152</v>
      </c>
      <c r="B569" s="30" t="s">
        <v>111</v>
      </c>
      <c r="C569" s="30" t="s">
        <v>109</v>
      </c>
      <c r="D569" s="30"/>
      <c r="E569" s="64">
        <f>E570</f>
        <v>74255.600000000006</v>
      </c>
      <c r="F569" s="64">
        <f>F570</f>
        <v>74935.600000000006</v>
      </c>
      <c r="G569" s="64">
        <f>G570</f>
        <v>75642.899999999994</v>
      </c>
    </row>
    <row r="570" spans="1:7" ht="47.25" outlineLevel="2" x14ac:dyDescent="0.25">
      <c r="A570" s="35" t="s">
        <v>94</v>
      </c>
      <c r="B570" s="30" t="s">
        <v>111</v>
      </c>
      <c r="C570" s="30" t="s">
        <v>109</v>
      </c>
      <c r="D570" s="30" t="s">
        <v>95</v>
      </c>
      <c r="E570" s="64">
        <v>74255.600000000006</v>
      </c>
      <c r="F570" s="64">
        <v>74935.600000000006</v>
      </c>
      <c r="G570" s="64">
        <v>75642.899999999994</v>
      </c>
    </row>
    <row r="571" spans="1:7" ht="47.25" outlineLevel="2" x14ac:dyDescent="0.25">
      <c r="A571" s="35" t="s">
        <v>509</v>
      </c>
      <c r="B571" s="30" t="s">
        <v>111</v>
      </c>
      <c r="C571" s="30" t="s">
        <v>162</v>
      </c>
      <c r="D571" s="30"/>
      <c r="E571" s="64">
        <f>E572+E574</f>
        <v>1169</v>
      </c>
      <c r="F571" s="64">
        <f t="shared" ref="F571:G571" si="236">F572+F574</f>
        <v>1169</v>
      </c>
      <c r="G571" s="64">
        <f t="shared" si="236"/>
        <v>1169</v>
      </c>
    </row>
    <row r="572" spans="1:7" ht="31.5" outlineLevel="2" x14ac:dyDescent="0.25">
      <c r="A572" s="35" t="s">
        <v>163</v>
      </c>
      <c r="B572" s="30" t="s">
        <v>111</v>
      </c>
      <c r="C572" s="30" t="s">
        <v>164</v>
      </c>
      <c r="D572" s="30"/>
      <c r="E572" s="64">
        <f>E573</f>
        <v>380.8</v>
      </c>
      <c r="F572" s="64">
        <f t="shared" ref="F572:G572" si="237">F573</f>
        <v>565.79999999999995</v>
      </c>
      <c r="G572" s="64">
        <f t="shared" si="237"/>
        <v>565.79999999999995</v>
      </c>
    </row>
    <row r="573" spans="1:7" ht="31.5" outlineLevel="2" x14ac:dyDescent="0.25">
      <c r="A573" s="35" t="s">
        <v>76</v>
      </c>
      <c r="B573" s="30" t="s">
        <v>111</v>
      </c>
      <c r="C573" s="30" t="s">
        <v>164</v>
      </c>
      <c r="D573" s="30" t="s">
        <v>39</v>
      </c>
      <c r="E573" s="64">
        <v>380.8</v>
      </c>
      <c r="F573" s="64">
        <v>565.79999999999995</v>
      </c>
      <c r="G573" s="64">
        <v>565.79999999999995</v>
      </c>
    </row>
    <row r="574" spans="1:7" ht="47.25" outlineLevel="2" x14ac:dyDescent="0.25">
      <c r="A574" s="35" t="s">
        <v>165</v>
      </c>
      <c r="B574" s="30" t="s">
        <v>111</v>
      </c>
      <c r="C574" s="30" t="s">
        <v>166</v>
      </c>
      <c r="D574" s="30"/>
      <c r="E574" s="64">
        <f>E575</f>
        <v>788.2</v>
      </c>
      <c r="F574" s="64">
        <f t="shared" ref="F574:G574" si="238">F575</f>
        <v>603.20000000000005</v>
      </c>
      <c r="G574" s="64">
        <f t="shared" si="238"/>
        <v>603.20000000000005</v>
      </c>
    </row>
    <row r="575" spans="1:7" ht="47.25" outlineLevel="2" x14ac:dyDescent="0.25">
      <c r="A575" s="35" t="s">
        <v>94</v>
      </c>
      <c r="B575" s="30" t="s">
        <v>111</v>
      </c>
      <c r="C575" s="30" t="s">
        <v>166</v>
      </c>
      <c r="D575" s="30">
        <v>600</v>
      </c>
      <c r="E575" s="64">
        <v>788.2</v>
      </c>
      <c r="F575" s="64">
        <v>603.20000000000005</v>
      </c>
      <c r="G575" s="64">
        <v>603.20000000000005</v>
      </c>
    </row>
    <row r="576" spans="1:7" ht="47.25" outlineLevel="2" x14ac:dyDescent="0.25">
      <c r="A576" s="35" t="s">
        <v>167</v>
      </c>
      <c r="B576" s="30" t="s">
        <v>111</v>
      </c>
      <c r="C576" s="30" t="s">
        <v>168</v>
      </c>
      <c r="D576" s="64"/>
      <c r="E576" s="64">
        <f>E577+E579</f>
        <v>707.1</v>
      </c>
      <c r="F576" s="64">
        <f t="shared" ref="F576:G576" si="239">F577+F579</f>
        <v>515</v>
      </c>
      <c r="G576" s="64">
        <f t="shared" si="239"/>
        <v>515</v>
      </c>
    </row>
    <row r="577" spans="1:7" ht="63" outlineLevel="2" x14ac:dyDescent="0.25">
      <c r="A577" s="73" t="s">
        <v>169</v>
      </c>
      <c r="B577" s="30" t="s">
        <v>111</v>
      </c>
      <c r="C577" s="30" t="s">
        <v>510</v>
      </c>
      <c r="D577" s="30"/>
      <c r="E577" s="64">
        <f>E578</f>
        <v>408.1</v>
      </c>
      <c r="F577" s="64">
        <f>F578</f>
        <v>216</v>
      </c>
      <c r="G577" s="64">
        <f>G578</f>
        <v>216</v>
      </c>
    </row>
    <row r="578" spans="1:7" ht="31.5" outlineLevel="2" x14ac:dyDescent="0.25">
      <c r="A578" s="73" t="s">
        <v>20</v>
      </c>
      <c r="B578" s="30" t="s">
        <v>111</v>
      </c>
      <c r="C578" s="30" t="s">
        <v>510</v>
      </c>
      <c r="D578" s="30">
        <v>300</v>
      </c>
      <c r="E578" s="64">
        <f>216+192.1</f>
        <v>408.1</v>
      </c>
      <c r="F578" s="64">
        <v>216</v>
      </c>
      <c r="G578" s="64">
        <v>216</v>
      </c>
    </row>
    <row r="579" spans="1:7" ht="47.25" outlineLevel="2" x14ac:dyDescent="0.25">
      <c r="A579" s="35" t="s">
        <v>170</v>
      </c>
      <c r="B579" s="30" t="s">
        <v>111</v>
      </c>
      <c r="C579" s="30" t="s">
        <v>171</v>
      </c>
      <c r="D579" s="30"/>
      <c r="E579" s="64">
        <f>E580</f>
        <v>299</v>
      </c>
      <c r="F579" s="64">
        <f>F580</f>
        <v>299</v>
      </c>
      <c r="G579" s="64">
        <f>G580</f>
        <v>299</v>
      </c>
    </row>
    <row r="580" spans="1:7" ht="37.5" customHeight="1" outlineLevel="2" x14ac:dyDescent="0.25">
      <c r="A580" s="73" t="s">
        <v>20</v>
      </c>
      <c r="B580" s="30" t="s">
        <v>111</v>
      </c>
      <c r="C580" s="30" t="s">
        <v>172</v>
      </c>
      <c r="D580" s="30">
        <v>300</v>
      </c>
      <c r="E580" s="64">
        <v>299</v>
      </c>
      <c r="F580" s="64">
        <v>299</v>
      </c>
      <c r="G580" s="64">
        <v>299</v>
      </c>
    </row>
    <row r="581" spans="1:7" x14ac:dyDescent="0.25">
      <c r="A581" s="74" t="s">
        <v>119</v>
      </c>
      <c r="B581" s="14" t="s">
        <v>120</v>
      </c>
      <c r="C581" s="14"/>
      <c r="D581" s="15"/>
      <c r="E581" s="32">
        <f>E582+E586+E607</f>
        <v>411959.1</v>
      </c>
      <c r="F581" s="32">
        <f t="shared" ref="F581:G581" si="240">F582+F586+F607</f>
        <v>376787.20000000001</v>
      </c>
      <c r="G581" s="32">
        <f t="shared" si="240"/>
        <v>391866.2</v>
      </c>
    </row>
    <row r="582" spans="1:7" outlineLevel="1" x14ac:dyDescent="0.25">
      <c r="A582" s="17" t="s">
        <v>121</v>
      </c>
      <c r="B582" s="18" t="s">
        <v>122</v>
      </c>
      <c r="C582" s="18"/>
      <c r="D582" s="9"/>
      <c r="E582" s="19">
        <f>E583</f>
        <v>11788.2</v>
      </c>
      <c r="F582" s="19">
        <f t="shared" ref="F582:G584" si="241">F583</f>
        <v>12159.6</v>
      </c>
      <c r="G582" s="19">
        <f t="shared" si="241"/>
        <v>12159.6</v>
      </c>
    </row>
    <row r="583" spans="1:7" outlineLevel="2" x14ac:dyDescent="0.25">
      <c r="A583" s="17" t="s">
        <v>9</v>
      </c>
      <c r="B583" s="18" t="s">
        <v>122</v>
      </c>
      <c r="C583" s="18" t="s">
        <v>10</v>
      </c>
      <c r="D583" s="9"/>
      <c r="E583" s="19">
        <f>E584</f>
        <v>11788.2</v>
      </c>
      <c r="F583" s="19">
        <f t="shared" si="241"/>
        <v>12159.6</v>
      </c>
      <c r="G583" s="19">
        <f t="shared" si="241"/>
        <v>12159.6</v>
      </c>
    </row>
    <row r="584" spans="1:7" outlineLevel="2" x14ac:dyDescent="0.25">
      <c r="A584" s="17" t="s">
        <v>123</v>
      </c>
      <c r="B584" s="18" t="s">
        <v>122</v>
      </c>
      <c r="C584" s="18" t="s">
        <v>124</v>
      </c>
      <c r="D584" s="9"/>
      <c r="E584" s="19">
        <f>E585</f>
        <v>11788.2</v>
      </c>
      <c r="F584" s="19">
        <f t="shared" si="241"/>
        <v>12159.6</v>
      </c>
      <c r="G584" s="19">
        <f t="shared" si="241"/>
        <v>12159.6</v>
      </c>
    </row>
    <row r="585" spans="1:7" ht="31.5" outlineLevel="2" x14ac:dyDescent="0.25">
      <c r="A585" s="17" t="s">
        <v>20</v>
      </c>
      <c r="B585" s="18" t="s">
        <v>122</v>
      </c>
      <c r="C585" s="18" t="s">
        <v>124</v>
      </c>
      <c r="D585" s="9">
        <v>300</v>
      </c>
      <c r="E585" s="19">
        <v>11788.2</v>
      </c>
      <c r="F585" s="19">
        <v>12159.6</v>
      </c>
      <c r="G585" s="19">
        <v>12159.6</v>
      </c>
    </row>
    <row r="586" spans="1:7" outlineLevel="1" x14ac:dyDescent="0.25">
      <c r="A586" s="17" t="s">
        <v>125</v>
      </c>
      <c r="B586" s="18" t="s">
        <v>126</v>
      </c>
      <c r="C586" s="18"/>
      <c r="D586" s="9"/>
      <c r="E586" s="19">
        <f>E587+E598</f>
        <v>41857.300000000003</v>
      </c>
      <c r="F586" s="19">
        <f t="shared" ref="F586:G586" si="242">F587+F598</f>
        <v>20235.7</v>
      </c>
      <c r="G586" s="19">
        <f t="shared" si="242"/>
        <v>21132.400000000001</v>
      </c>
    </row>
    <row r="587" spans="1:7" outlineLevel="2" x14ac:dyDescent="0.25">
      <c r="A587" s="17" t="s">
        <v>9</v>
      </c>
      <c r="B587" s="18" t="s">
        <v>126</v>
      </c>
      <c r="C587" s="18" t="s">
        <v>10</v>
      </c>
      <c r="D587" s="9"/>
      <c r="E587" s="19">
        <f>E588+E590+E592+E594+E596</f>
        <v>8709.2999999999993</v>
      </c>
      <c r="F587" s="19">
        <f t="shared" ref="F587:G587" si="243">F588+F590+F592+F594+F596</f>
        <v>9609</v>
      </c>
      <c r="G587" s="19">
        <f t="shared" si="243"/>
        <v>10163.9</v>
      </c>
    </row>
    <row r="588" spans="1:7" ht="31.5" outlineLevel="2" x14ac:dyDescent="0.25">
      <c r="A588" s="17" t="s">
        <v>127</v>
      </c>
      <c r="B588" s="18" t="s">
        <v>126</v>
      </c>
      <c r="C588" s="18" t="s">
        <v>128</v>
      </c>
      <c r="D588" s="9"/>
      <c r="E588" s="19">
        <f>E589</f>
        <v>2684.5</v>
      </c>
      <c r="F588" s="19">
        <f t="shared" ref="F588:G588" si="244">F589</f>
        <v>2894.5</v>
      </c>
      <c r="G588" s="19">
        <f t="shared" si="244"/>
        <v>3104.5</v>
      </c>
    </row>
    <row r="589" spans="1:7" ht="31.5" outlineLevel="2" x14ac:dyDescent="0.25">
      <c r="A589" s="17" t="s">
        <v>20</v>
      </c>
      <c r="B589" s="18" t="s">
        <v>126</v>
      </c>
      <c r="C589" s="18" t="s">
        <v>128</v>
      </c>
      <c r="D589" s="9">
        <v>300</v>
      </c>
      <c r="E589" s="19">
        <v>2684.5</v>
      </c>
      <c r="F589" s="19">
        <v>2894.5</v>
      </c>
      <c r="G589" s="19">
        <v>3104.5</v>
      </c>
    </row>
    <row r="590" spans="1:7" ht="47.25" outlineLevel="2" x14ac:dyDescent="0.25">
      <c r="A590" s="17" t="s">
        <v>129</v>
      </c>
      <c r="B590" s="18" t="s">
        <v>126</v>
      </c>
      <c r="C590" s="18" t="s">
        <v>130</v>
      </c>
      <c r="D590" s="9"/>
      <c r="E590" s="19">
        <f>E591</f>
        <v>1948.3</v>
      </c>
      <c r="F590" s="19">
        <f t="shared" ref="F590:G590" si="245">F591</f>
        <v>2638</v>
      </c>
      <c r="G590" s="19">
        <f t="shared" si="245"/>
        <v>2982.9</v>
      </c>
    </row>
    <row r="591" spans="1:7" ht="31.5" outlineLevel="2" x14ac:dyDescent="0.25">
      <c r="A591" s="17" t="s">
        <v>20</v>
      </c>
      <c r="B591" s="18" t="s">
        <v>126</v>
      </c>
      <c r="C591" s="18" t="s">
        <v>130</v>
      </c>
      <c r="D591" s="9">
        <v>300</v>
      </c>
      <c r="E591" s="19">
        <v>1948.3</v>
      </c>
      <c r="F591" s="19">
        <v>2638</v>
      </c>
      <c r="G591" s="19">
        <v>2982.9</v>
      </c>
    </row>
    <row r="592" spans="1:7" outlineLevel="2" x14ac:dyDescent="0.25">
      <c r="A592" s="17" t="s">
        <v>132</v>
      </c>
      <c r="B592" s="18" t="s">
        <v>126</v>
      </c>
      <c r="C592" s="18" t="s">
        <v>133</v>
      </c>
      <c r="D592" s="9"/>
      <c r="E592" s="19">
        <f>E593</f>
        <v>513.29999999999995</v>
      </c>
      <c r="F592" s="19">
        <f t="shared" ref="F592:G592" si="246">F593</f>
        <v>513.29999999999995</v>
      </c>
      <c r="G592" s="19">
        <f t="shared" si="246"/>
        <v>513.29999999999995</v>
      </c>
    </row>
    <row r="593" spans="1:7" ht="47.25" outlineLevel="2" x14ac:dyDescent="0.25">
      <c r="A593" s="17" t="s">
        <v>94</v>
      </c>
      <c r="B593" s="18" t="s">
        <v>126</v>
      </c>
      <c r="C593" s="18" t="s">
        <v>133</v>
      </c>
      <c r="D593" s="9">
        <v>600</v>
      </c>
      <c r="E593" s="19">
        <v>513.29999999999995</v>
      </c>
      <c r="F593" s="19">
        <v>513.29999999999995</v>
      </c>
      <c r="G593" s="19">
        <v>513.29999999999995</v>
      </c>
    </row>
    <row r="594" spans="1:7" ht="31.5" outlineLevel="2" x14ac:dyDescent="0.25">
      <c r="A594" s="17" t="s">
        <v>134</v>
      </c>
      <c r="B594" s="18" t="s">
        <v>126</v>
      </c>
      <c r="C594" s="18" t="s">
        <v>135</v>
      </c>
      <c r="D594" s="9"/>
      <c r="E594" s="19">
        <f>E595</f>
        <v>2913.2</v>
      </c>
      <c r="F594" s="19">
        <f t="shared" ref="F594:G594" si="247">F595</f>
        <v>2913.2</v>
      </c>
      <c r="G594" s="19">
        <f t="shared" si="247"/>
        <v>2913.2</v>
      </c>
    </row>
    <row r="595" spans="1:7" ht="47.25" outlineLevel="2" x14ac:dyDescent="0.25">
      <c r="A595" s="17" t="s">
        <v>94</v>
      </c>
      <c r="B595" s="18" t="s">
        <v>126</v>
      </c>
      <c r="C595" s="18" t="s">
        <v>135</v>
      </c>
      <c r="D595" s="9">
        <v>600</v>
      </c>
      <c r="E595" s="19">
        <v>2913.2</v>
      </c>
      <c r="F595" s="19">
        <v>2913.2</v>
      </c>
      <c r="G595" s="19">
        <v>2913.2</v>
      </c>
    </row>
    <row r="596" spans="1:7" ht="31.5" outlineLevel="2" x14ac:dyDescent="0.25">
      <c r="A596" s="75" t="s">
        <v>140</v>
      </c>
      <c r="B596" s="18" t="s">
        <v>126</v>
      </c>
      <c r="C596" s="18" t="s">
        <v>141</v>
      </c>
      <c r="D596" s="9"/>
      <c r="E596" s="19">
        <f>E597</f>
        <v>650</v>
      </c>
      <c r="F596" s="19">
        <f t="shared" ref="F596:G596" si="248">F597</f>
        <v>650</v>
      </c>
      <c r="G596" s="19">
        <f t="shared" si="248"/>
        <v>650</v>
      </c>
    </row>
    <row r="597" spans="1:7" ht="31.5" outlineLevel="2" x14ac:dyDescent="0.25">
      <c r="A597" s="20" t="s">
        <v>20</v>
      </c>
      <c r="B597" s="18" t="s">
        <v>126</v>
      </c>
      <c r="C597" s="18" t="s">
        <v>141</v>
      </c>
      <c r="D597" s="9">
        <v>300</v>
      </c>
      <c r="E597" s="19">
        <v>650</v>
      </c>
      <c r="F597" s="19">
        <v>650</v>
      </c>
      <c r="G597" s="19">
        <v>650</v>
      </c>
    </row>
    <row r="598" spans="1:7" ht="47.25" outlineLevel="2" x14ac:dyDescent="0.25">
      <c r="A598" s="29" t="s">
        <v>59</v>
      </c>
      <c r="B598" s="23" t="s">
        <v>126</v>
      </c>
      <c r="C598" s="23" t="s">
        <v>60</v>
      </c>
      <c r="D598" s="24"/>
      <c r="E598" s="1">
        <f>E599</f>
        <v>33148</v>
      </c>
      <c r="F598" s="1">
        <f t="shared" ref="F598:G599" si="249">F599</f>
        <v>10626.7</v>
      </c>
      <c r="G598" s="1">
        <f t="shared" si="249"/>
        <v>10968.500000000002</v>
      </c>
    </row>
    <row r="599" spans="1:7" outlineLevel="2" x14ac:dyDescent="0.25">
      <c r="A599" s="33" t="s">
        <v>156</v>
      </c>
      <c r="B599" s="30" t="s">
        <v>126</v>
      </c>
      <c r="C599" s="30" t="s">
        <v>456</v>
      </c>
      <c r="D599" s="24"/>
      <c r="E599" s="1">
        <f>E600</f>
        <v>33148</v>
      </c>
      <c r="F599" s="1">
        <f t="shared" si="249"/>
        <v>10626.7</v>
      </c>
      <c r="G599" s="1">
        <f t="shared" si="249"/>
        <v>10968.500000000002</v>
      </c>
    </row>
    <row r="600" spans="1:7" ht="47.25" outlineLevel="2" x14ac:dyDescent="0.25">
      <c r="A600" s="29" t="s">
        <v>503</v>
      </c>
      <c r="B600" s="23" t="s">
        <v>126</v>
      </c>
      <c r="C600" s="23" t="s">
        <v>457</v>
      </c>
      <c r="D600" s="24"/>
      <c r="E600" s="1">
        <f>E601+E603+E605</f>
        <v>33148</v>
      </c>
      <c r="F600" s="1">
        <f t="shared" ref="F600:G600" si="250">F601+F603+F605</f>
        <v>10626.7</v>
      </c>
      <c r="G600" s="1">
        <f t="shared" si="250"/>
        <v>10968.500000000002</v>
      </c>
    </row>
    <row r="601" spans="1:7" ht="78.75" outlineLevel="2" x14ac:dyDescent="0.25">
      <c r="A601" s="29" t="s">
        <v>458</v>
      </c>
      <c r="B601" s="23" t="s">
        <v>459</v>
      </c>
      <c r="C601" s="23" t="s">
        <v>460</v>
      </c>
      <c r="D601" s="24"/>
      <c r="E601" s="1">
        <f>E602</f>
        <v>1675.6</v>
      </c>
      <c r="F601" s="1">
        <f t="shared" ref="F601:G601" si="251">F602</f>
        <v>335.1</v>
      </c>
      <c r="G601" s="1">
        <f t="shared" si="251"/>
        <v>335.1</v>
      </c>
    </row>
    <row r="602" spans="1:7" ht="31.5" outlineLevel="2" x14ac:dyDescent="0.25">
      <c r="A602" s="29" t="s">
        <v>20</v>
      </c>
      <c r="B602" s="23" t="s">
        <v>459</v>
      </c>
      <c r="C602" s="23" t="s">
        <v>460</v>
      </c>
      <c r="D602" s="24">
        <v>300</v>
      </c>
      <c r="E602" s="1">
        <v>1675.6</v>
      </c>
      <c r="F602" s="1">
        <v>335.1</v>
      </c>
      <c r="G602" s="1">
        <v>335.1</v>
      </c>
    </row>
    <row r="603" spans="1:7" ht="31.5" outlineLevel="2" x14ac:dyDescent="0.25">
      <c r="A603" s="29" t="s">
        <v>461</v>
      </c>
      <c r="B603" s="23" t="s">
        <v>126</v>
      </c>
      <c r="C603" s="23" t="s">
        <v>462</v>
      </c>
      <c r="D603" s="24"/>
      <c r="E603" s="1">
        <f>E604</f>
        <v>5972.4</v>
      </c>
      <c r="F603" s="1">
        <f>F604</f>
        <v>8956.6</v>
      </c>
      <c r="G603" s="1">
        <f>G604</f>
        <v>9320.2000000000007</v>
      </c>
    </row>
    <row r="604" spans="1:7" ht="31.5" outlineLevel="2" x14ac:dyDescent="0.25">
      <c r="A604" s="20" t="s">
        <v>20</v>
      </c>
      <c r="B604" s="23" t="s">
        <v>126</v>
      </c>
      <c r="C604" s="23" t="s">
        <v>462</v>
      </c>
      <c r="D604" s="24">
        <v>300</v>
      </c>
      <c r="E604" s="1">
        <f>5677.2+17.7+277.5</f>
        <v>5972.4</v>
      </c>
      <c r="F604" s="1">
        <f>5707+3054.6+195</f>
        <v>8956.6</v>
      </c>
      <c r="G604" s="1">
        <f>5707+216.8+3396.4</f>
        <v>9320.2000000000007</v>
      </c>
    </row>
    <row r="605" spans="1:7" ht="110.25" outlineLevel="2" x14ac:dyDescent="0.25">
      <c r="A605" s="2" t="s">
        <v>463</v>
      </c>
      <c r="B605" s="23" t="s">
        <v>126</v>
      </c>
      <c r="C605" s="3" t="s">
        <v>464</v>
      </c>
      <c r="D605" s="24"/>
      <c r="E605" s="1">
        <f>E606</f>
        <v>25500</v>
      </c>
      <c r="F605" s="1">
        <f>F606</f>
        <v>1335</v>
      </c>
      <c r="G605" s="1">
        <f>G606</f>
        <v>1313.2</v>
      </c>
    </row>
    <row r="606" spans="1:7" ht="31.5" outlineLevel="2" x14ac:dyDescent="0.25">
      <c r="A606" s="20" t="s">
        <v>20</v>
      </c>
      <c r="B606" s="23" t="s">
        <v>126</v>
      </c>
      <c r="C606" s="3" t="s">
        <v>464</v>
      </c>
      <c r="D606" s="24">
        <v>300</v>
      </c>
      <c r="E606" s="1">
        <v>25500</v>
      </c>
      <c r="F606" s="1">
        <f>25500-195-23970</f>
        <v>1335</v>
      </c>
      <c r="G606" s="1">
        <f>25500-23970-216.8</f>
        <v>1313.2</v>
      </c>
    </row>
    <row r="607" spans="1:7" outlineLevel="1" x14ac:dyDescent="0.25">
      <c r="A607" s="20" t="s">
        <v>137</v>
      </c>
      <c r="B607" s="18" t="s">
        <v>138</v>
      </c>
      <c r="C607" s="18"/>
      <c r="D607" s="18"/>
      <c r="E607" s="42">
        <f>E621+E608</f>
        <v>358313.6</v>
      </c>
      <c r="F607" s="42">
        <f t="shared" ref="F607:G607" si="252">F621+F608</f>
        <v>344391.9</v>
      </c>
      <c r="G607" s="42">
        <f t="shared" si="252"/>
        <v>358574.2</v>
      </c>
    </row>
    <row r="608" spans="1:7" ht="47.25" outlineLevel="2" x14ac:dyDescent="0.25">
      <c r="A608" s="40" t="s">
        <v>59</v>
      </c>
      <c r="B608" s="23" t="s">
        <v>138</v>
      </c>
      <c r="C608" s="23" t="s">
        <v>60</v>
      </c>
      <c r="D608" s="3"/>
      <c r="E608" s="1">
        <f>E615+E609</f>
        <v>115280.7</v>
      </c>
      <c r="F608" s="1">
        <f t="shared" ref="F608:G608" si="253">F615+F609</f>
        <v>99887.6</v>
      </c>
      <c r="G608" s="1">
        <f t="shared" si="253"/>
        <v>112539.1</v>
      </c>
    </row>
    <row r="609" spans="1:7" outlineLevel="2" x14ac:dyDescent="0.25">
      <c r="A609" s="33" t="s">
        <v>156</v>
      </c>
      <c r="B609" s="30" t="s">
        <v>138</v>
      </c>
      <c r="C609" s="30" t="s">
        <v>456</v>
      </c>
      <c r="D609" s="23"/>
      <c r="E609" s="1">
        <f>E610</f>
        <v>113184.5</v>
      </c>
      <c r="F609" s="1">
        <f t="shared" ref="F609:G613" si="254">F610</f>
        <v>98093.200000000012</v>
      </c>
      <c r="G609" s="1">
        <f t="shared" si="254"/>
        <v>110669.3</v>
      </c>
    </row>
    <row r="610" spans="1:7" ht="47.25" outlineLevel="2" x14ac:dyDescent="0.25">
      <c r="A610" s="29" t="s">
        <v>503</v>
      </c>
      <c r="B610" s="23" t="s">
        <v>138</v>
      </c>
      <c r="C610" s="23" t="s">
        <v>457</v>
      </c>
      <c r="D610" s="23"/>
      <c r="E610" s="1">
        <f>E613+E611</f>
        <v>113184.5</v>
      </c>
      <c r="F610" s="1">
        <f t="shared" ref="F610:G610" si="255">F613+F611</f>
        <v>98093.200000000012</v>
      </c>
      <c r="G610" s="1">
        <f t="shared" si="255"/>
        <v>110669.3</v>
      </c>
    </row>
    <row r="611" spans="1:7" ht="126" outlineLevel="2" x14ac:dyDescent="0.25">
      <c r="A611" s="8" t="s">
        <v>637</v>
      </c>
      <c r="B611" s="23" t="s">
        <v>138</v>
      </c>
      <c r="C611" s="18" t="s">
        <v>638</v>
      </c>
      <c r="D611" s="18"/>
      <c r="E611" s="1">
        <f>E612</f>
        <v>42758.6</v>
      </c>
      <c r="F611" s="1">
        <f t="shared" ref="F611:G611" si="256">F612</f>
        <v>0</v>
      </c>
      <c r="G611" s="1">
        <f t="shared" si="256"/>
        <v>0</v>
      </c>
    </row>
    <row r="612" spans="1:7" ht="47.25" outlineLevel="2" x14ac:dyDescent="0.25">
      <c r="A612" s="8" t="s">
        <v>311</v>
      </c>
      <c r="B612" s="23" t="s">
        <v>138</v>
      </c>
      <c r="C612" s="18" t="s">
        <v>638</v>
      </c>
      <c r="D612" s="18" t="s">
        <v>469</v>
      </c>
      <c r="E612" s="1">
        <v>42758.6</v>
      </c>
      <c r="F612" s="1">
        <v>0</v>
      </c>
      <c r="G612" s="1">
        <v>0</v>
      </c>
    </row>
    <row r="613" spans="1:7" ht="63" outlineLevel="2" x14ac:dyDescent="0.25">
      <c r="A613" s="8" t="s">
        <v>649</v>
      </c>
      <c r="B613" s="23" t="s">
        <v>138</v>
      </c>
      <c r="C613" s="18" t="s">
        <v>468</v>
      </c>
      <c r="D613" s="23"/>
      <c r="E613" s="1">
        <f>E614</f>
        <v>70425.899999999994</v>
      </c>
      <c r="F613" s="1">
        <f t="shared" si="254"/>
        <v>98093.200000000012</v>
      </c>
      <c r="G613" s="1">
        <f t="shared" si="254"/>
        <v>110669.3</v>
      </c>
    </row>
    <row r="614" spans="1:7" ht="47.25" outlineLevel="2" x14ac:dyDescent="0.25">
      <c r="A614" s="50" t="s">
        <v>311</v>
      </c>
      <c r="B614" s="23" t="s">
        <v>138</v>
      </c>
      <c r="C614" s="18" t="s">
        <v>468</v>
      </c>
      <c r="D614" s="23" t="s">
        <v>469</v>
      </c>
      <c r="E614" s="1">
        <f>51718.4+18707.5</f>
        <v>70425.899999999994</v>
      </c>
      <c r="F614" s="1">
        <f>79252.1+18841.1</f>
        <v>98093.200000000012</v>
      </c>
      <c r="G614" s="1">
        <f>79252.1+31417.2</f>
        <v>110669.3</v>
      </c>
    </row>
    <row r="615" spans="1:7" outlineLevel="2" x14ac:dyDescent="0.25">
      <c r="A615" s="33" t="s">
        <v>145</v>
      </c>
      <c r="B615" s="23" t="s">
        <v>138</v>
      </c>
      <c r="C615" s="23" t="s">
        <v>136</v>
      </c>
      <c r="D615" s="3"/>
      <c r="E615" s="1">
        <f>E616</f>
        <v>2096.1999999999998</v>
      </c>
      <c r="F615" s="1">
        <f t="shared" ref="F615:G615" si="257">F616</f>
        <v>1794.4</v>
      </c>
      <c r="G615" s="1">
        <f t="shared" si="257"/>
        <v>1869.8</v>
      </c>
    </row>
    <row r="616" spans="1:7" ht="78.75" outlineLevel="2" x14ac:dyDescent="0.25">
      <c r="A616" s="8" t="s">
        <v>504</v>
      </c>
      <c r="B616" s="23" t="s">
        <v>138</v>
      </c>
      <c r="C616" s="18" t="s">
        <v>465</v>
      </c>
      <c r="D616" s="3"/>
      <c r="E616" s="1">
        <f>E617+E619</f>
        <v>2096.1999999999998</v>
      </c>
      <c r="F616" s="1">
        <f t="shared" ref="F616:G616" si="258">F617+F619</f>
        <v>1794.4</v>
      </c>
      <c r="G616" s="1">
        <f t="shared" si="258"/>
        <v>1869.8</v>
      </c>
    </row>
    <row r="617" spans="1:7" ht="110.25" outlineLevel="2" x14ac:dyDescent="0.25">
      <c r="A617" s="33" t="s">
        <v>466</v>
      </c>
      <c r="B617" s="23" t="s">
        <v>138</v>
      </c>
      <c r="C617" s="18" t="s">
        <v>467</v>
      </c>
      <c r="D617" s="3"/>
      <c r="E617" s="1">
        <f>E618</f>
        <v>1205.8</v>
      </c>
      <c r="F617" s="1">
        <f t="shared" ref="F617:G617" si="259">F618</f>
        <v>1205.8</v>
      </c>
      <c r="G617" s="1">
        <f t="shared" si="259"/>
        <v>1205.8</v>
      </c>
    </row>
    <row r="618" spans="1:7" ht="31.5" outlineLevel="2" x14ac:dyDescent="0.25">
      <c r="A618" s="17" t="s">
        <v>20</v>
      </c>
      <c r="B618" s="18" t="s">
        <v>138</v>
      </c>
      <c r="C618" s="18" t="s">
        <v>467</v>
      </c>
      <c r="D618" s="9">
        <v>300</v>
      </c>
      <c r="E618" s="1">
        <f>201+1004.8</f>
        <v>1205.8</v>
      </c>
      <c r="F618" s="1">
        <f>201+1004.8</f>
        <v>1205.8</v>
      </c>
      <c r="G618" s="1">
        <f>201+1004.8</f>
        <v>1205.8</v>
      </c>
    </row>
    <row r="619" spans="1:7" ht="94.5" outlineLevel="2" x14ac:dyDescent="0.25">
      <c r="A619" s="2" t="s">
        <v>470</v>
      </c>
      <c r="B619" s="23" t="s">
        <v>138</v>
      </c>
      <c r="C619" s="18" t="s">
        <v>471</v>
      </c>
      <c r="D619" s="23"/>
      <c r="E619" s="1">
        <f>E620</f>
        <v>890.4</v>
      </c>
      <c r="F619" s="1">
        <f t="shared" ref="F619:G619" si="260">F620</f>
        <v>588.6</v>
      </c>
      <c r="G619" s="1">
        <f t="shared" si="260"/>
        <v>664</v>
      </c>
    </row>
    <row r="620" spans="1:7" ht="31.5" outlineLevel="2" x14ac:dyDescent="0.25">
      <c r="A620" s="20" t="s">
        <v>76</v>
      </c>
      <c r="B620" s="23" t="s">
        <v>138</v>
      </c>
      <c r="C620" s="18" t="s">
        <v>471</v>
      </c>
      <c r="D620" s="23" t="s">
        <v>39</v>
      </c>
      <c r="E620" s="1">
        <f>475.5+414.9</f>
        <v>890.4</v>
      </c>
      <c r="F620" s="1">
        <f>475.5+113.1</f>
        <v>588.6</v>
      </c>
      <c r="G620" s="1">
        <f>475.5+188.5</f>
        <v>664</v>
      </c>
    </row>
    <row r="621" spans="1:7" ht="31.5" outlineLevel="2" x14ac:dyDescent="0.25">
      <c r="A621" s="20" t="s">
        <v>210</v>
      </c>
      <c r="B621" s="18" t="s">
        <v>138</v>
      </c>
      <c r="C621" s="18" t="s">
        <v>211</v>
      </c>
      <c r="D621" s="18"/>
      <c r="E621" s="42">
        <f>E622</f>
        <v>243032.89999999997</v>
      </c>
      <c r="F621" s="42">
        <f t="shared" ref="F621:G621" si="261">F622</f>
        <v>244504.3</v>
      </c>
      <c r="G621" s="42">
        <f t="shared" si="261"/>
        <v>246035.1</v>
      </c>
    </row>
    <row r="622" spans="1:7" outlineLevel="2" x14ac:dyDescent="0.25">
      <c r="A622" s="20" t="s">
        <v>145</v>
      </c>
      <c r="B622" s="18" t="s">
        <v>138</v>
      </c>
      <c r="C622" s="18" t="s">
        <v>217</v>
      </c>
      <c r="D622" s="18"/>
      <c r="E622" s="42">
        <f>E623+E628</f>
        <v>243032.89999999997</v>
      </c>
      <c r="F622" s="42">
        <f t="shared" ref="F622:G622" si="262">F623+F628</f>
        <v>244504.3</v>
      </c>
      <c r="G622" s="42">
        <f t="shared" si="262"/>
        <v>246035.1</v>
      </c>
    </row>
    <row r="623" spans="1:7" ht="63" outlineLevel="2" x14ac:dyDescent="0.25">
      <c r="A623" s="34" t="s">
        <v>500</v>
      </c>
      <c r="B623" s="18" t="s">
        <v>138</v>
      </c>
      <c r="C623" s="18" t="s">
        <v>218</v>
      </c>
      <c r="D623" s="18"/>
      <c r="E623" s="42">
        <f>E624</f>
        <v>182999.19999999998</v>
      </c>
      <c r="F623" s="42">
        <f t="shared" ref="F623:G623" si="263">F624</f>
        <v>181455.6</v>
      </c>
      <c r="G623" s="42">
        <f t="shared" si="263"/>
        <v>182999.5</v>
      </c>
    </row>
    <row r="624" spans="1:7" ht="78.75" outlineLevel="2" x14ac:dyDescent="0.25">
      <c r="A624" s="33" t="s">
        <v>266</v>
      </c>
      <c r="B624" s="18" t="s">
        <v>138</v>
      </c>
      <c r="C624" s="18" t="s">
        <v>267</v>
      </c>
      <c r="D624" s="9"/>
      <c r="E624" s="42">
        <f>E625+E626+E627</f>
        <v>182999.19999999998</v>
      </c>
      <c r="F624" s="42">
        <f t="shared" ref="F624:G624" si="264">F625+F626+F627</f>
        <v>181455.6</v>
      </c>
      <c r="G624" s="42">
        <f t="shared" si="264"/>
        <v>182999.5</v>
      </c>
    </row>
    <row r="625" spans="1:7" ht="31.5" outlineLevel="2" x14ac:dyDescent="0.25">
      <c r="A625" s="17" t="s">
        <v>76</v>
      </c>
      <c r="B625" s="18" t="s">
        <v>138</v>
      </c>
      <c r="C625" s="18" t="s">
        <v>267</v>
      </c>
      <c r="D625" s="9">
        <v>200</v>
      </c>
      <c r="E625" s="42">
        <v>17</v>
      </c>
      <c r="F625" s="1">
        <v>17</v>
      </c>
      <c r="G625" s="1">
        <v>17</v>
      </c>
    </row>
    <row r="626" spans="1:7" ht="31.5" outlineLevel="2" x14ac:dyDescent="0.25">
      <c r="A626" s="17" t="s">
        <v>20</v>
      </c>
      <c r="B626" s="18" t="s">
        <v>138</v>
      </c>
      <c r="C626" s="18" t="s">
        <v>267</v>
      </c>
      <c r="D626" s="9">
        <v>300</v>
      </c>
      <c r="E626" s="42">
        <v>2390</v>
      </c>
      <c r="F626" s="1">
        <v>2390</v>
      </c>
      <c r="G626" s="1">
        <v>2390</v>
      </c>
    </row>
    <row r="627" spans="1:7" ht="47.25" outlineLevel="2" x14ac:dyDescent="0.25">
      <c r="A627" s="20" t="s">
        <v>94</v>
      </c>
      <c r="B627" s="18" t="s">
        <v>138</v>
      </c>
      <c r="C627" s="18" t="s">
        <v>267</v>
      </c>
      <c r="D627" s="9">
        <v>600</v>
      </c>
      <c r="E627" s="42">
        <f>169596.8+10995.4</f>
        <v>180592.19999999998</v>
      </c>
      <c r="F627" s="1">
        <f>169540.7+9507.9</f>
        <v>179048.6</v>
      </c>
      <c r="G627" s="1">
        <f>169540.7+11051.8</f>
        <v>180592.5</v>
      </c>
    </row>
    <row r="628" spans="1:7" ht="47.25" outlineLevel="2" x14ac:dyDescent="0.25">
      <c r="A628" s="33" t="s">
        <v>501</v>
      </c>
      <c r="B628" s="18" t="s">
        <v>138</v>
      </c>
      <c r="C628" s="18" t="s">
        <v>270</v>
      </c>
      <c r="D628" s="9"/>
      <c r="E628" s="42">
        <f>E629+E632+E635</f>
        <v>60033.7</v>
      </c>
      <c r="F628" s="42">
        <f t="shared" ref="F628:G628" si="265">F629+F632+F635</f>
        <v>63048.7</v>
      </c>
      <c r="G628" s="42">
        <f t="shared" si="265"/>
        <v>63035.6</v>
      </c>
    </row>
    <row r="629" spans="1:7" ht="63" outlineLevel="2" x14ac:dyDescent="0.25">
      <c r="A629" s="33" t="s">
        <v>271</v>
      </c>
      <c r="B629" s="18" t="s">
        <v>138</v>
      </c>
      <c r="C629" s="18" t="s">
        <v>272</v>
      </c>
      <c r="D629" s="9"/>
      <c r="E629" s="42">
        <f>E630+E631</f>
        <v>4502.6000000000004</v>
      </c>
      <c r="F629" s="42">
        <f t="shared" ref="F629:G629" si="266">F630+F631</f>
        <v>4436.8</v>
      </c>
      <c r="G629" s="42">
        <f t="shared" si="266"/>
        <v>4423.7</v>
      </c>
    </row>
    <row r="630" spans="1:7" ht="31.5" outlineLevel="2" x14ac:dyDescent="0.25">
      <c r="A630" s="20" t="s">
        <v>76</v>
      </c>
      <c r="B630" s="18" t="s">
        <v>138</v>
      </c>
      <c r="C630" s="18" t="s">
        <v>272</v>
      </c>
      <c r="D630" s="9">
        <v>200</v>
      </c>
      <c r="E630" s="42">
        <v>52</v>
      </c>
      <c r="F630" s="1">
        <v>52</v>
      </c>
      <c r="G630" s="1">
        <v>52</v>
      </c>
    </row>
    <row r="631" spans="1:7" ht="31.5" outlineLevel="2" x14ac:dyDescent="0.25">
      <c r="A631" s="20" t="s">
        <v>20</v>
      </c>
      <c r="B631" s="18" t="s">
        <v>138</v>
      </c>
      <c r="C631" s="18" t="s">
        <v>272</v>
      </c>
      <c r="D631" s="9">
        <v>300</v>
      </c>
      <c r="E631" s="42">
        <f>4165.3+285.3</f>
        <v>4450.6000000000004</v>
      </c>
      <c r="F631" s="1">
        <f>4227.3+157.5</f>
        <v>4384.8</v>
      </c>
      <c r="G631" s="1">
        <f>4227.3+144.4</f>
        <v>4371.7</v>
      </c>
    </row>
    <row r="632" spans="1:7" ht="110.25" outlineLevel="2" x14ac:dyDescent="0.25">
      <c r="A632" s="33" t="s">
        <v>273</v>
      </c>
      <c r="B632" s="18" t="s">
        <v>138</v>
      </c>
      <c r="C632" s="18" t="s">
        <v>274</v>
      </c>
      <c r="D632" s="9"/>
      <c r="E632" s="42">
        <f>E633+E634</f>
        <v>234.49999999999997</v>
      </c>
      <c r="F632" s="42">
        <f t="shared" ref="F632:G632" si="267">F633+F634</f>
        <v>246.89999999999998</v>
      </c>
      <c r="G632" s="42">
        <f t="shared" si="267"/>
        <v>246.89999999999998</v>
      </c>
    </row>
    <row r="633" spans="1:7" ht="31.5" outlineLevel="2" x14ac:dyDescent="0.25">
      <c r="A633" s="20" t="s">
        <v>76</v>
      </c>
      <c r="B633" s="18" t="s">
        <v>138</v>
      </c>
      <c r="C633" s="18" t="s">
        <v>274</v>
      </c>
      <c r="D633" s="9">
        <v>200</v>
      </c>
      <c r="E633" s="42">
        <v>2.2000000000000002</v>
      </c>
      <c r="F633" s="1">
        <v>2.2000000000000002</v>
      </c>
      <c r="G633" s="1">
        <v>2.2000000000000002</v>
      </c>
    </row>
    <row r="634" spans="1:7" ht="31.5" outlineLevel="2" x14ac:dyDescent="0.25">
      <c r="A634" s="20" t="s">
        <v>20</v>
      </c>
      <c r="B634" s="18" t="s">
        <v>138</v>
      </c>
      <c r="C634" s="18" t="s">
        <v>274</v>
      </c>
      <c r="D634" s="9">
        <v>300</v>
      </c>
      <c r="E634" s="42">
        <f>152.2+80.1</f>
        <v>232.29999999999998</v>
      </c>
      <c r="F634" s="1">
        <f>152.2+92.5</f>
        <v>244.7</v>
      </c>
      <c r="G634" s="1">
        <f>152.2+92.5</f>
        <v>244.7</v>
      </c>
    </row>
    <row r="635" spans="1:7" ht="94.5" outlineLevel="2" x14ac:dyDescent="0.25">
      <c r="A635" s="33" t="s">
        <v>275</v>
      </c>
      <c r="B635" s="18" t="s">
        <v>138</v>
      </c>
      <c r="C635" s="18" t="s">
        <v>276</v>
      </c>
      <c r="D635" s="9"/>
      <c r="E635" s="42">
        <f>E636+E637</f>
        <v>55296.6</v>
      </c>
      <c r="F635" s="42">
        <f t="shared" ref="F635:G635" si="268">F636+F637</f>
        <v>58365</v>
      </c>
      <c r="G635" s="42">
        <f t="shared" si="268"/>
        <v>58365</v>
      </c>
    </row>
    <row r="636" spans="1:7" ht="31.5" outlineLevel="2" x14ac:dyDescent="0.25">
      <c r="A636" s="20" t="s">
        <v>76</v>
      </c>
      <c r="B636" s="18" t="s">
        <v>138</v>
      </c>
      <c r="C636" s="18" t="s">
        <v>276</v>
      </c>
      <c r="D636" s="9">
        <v>200</v>
      </c>
      <c r="E636" s="42">
        <v>500</v>
      </c>
      <c r="F636" s="1">
        <v>500</v>
      </c>
      <c r="G636" s="1">
        <v>500</v>
      </c>
    </row>
    <row r="637" spans="1:7" ht="31.5" outlineLevel="2" x14ac:dyDescent="0.25">
      <c r="A637" s="20" t="s">
        <v>20</v>
      </c>
      <c r="B637" s="18" t="s">
        <v>138</v>
      </c>
      <c r="C637" s="18" t="s">
        <v>276</v>
      </c>
      <c r="D637" s="9">
        <v>300</v>
      </c>
      <c r="E637" s="42">
        <f>39896.4+12958.8+1941.4</f>
        <v>54796.6</v>
      </c>
      <c r="F637" s="1">
        <f>39896.4+12958.8+5009.8</f>
        <v>57865</v>
      </c>
      <c r="G637" s="1">
        <f>39896.4+12958.8+5009.8</f>
        <v>57865</v>
      </c>
    </row>
    <row r="638" spans="1:7" s="76" customFormat="1" ht="16.5" customHeight="1" x14ac:dyDescent="0.25">
      <c r="A638" s="74" t="s">
        <v>186</v>
      </c>
      <c r="B638" s="14" t="s">
        <v>187</v>
      </c>
      <c r="C638" s="14"/>
      <c r="D638" s="15"/>
      <c r="E638" s="32">
        <f>E639+E645+E660</f>
        <v>240655.3</v>
      </c>
      <c r="F638" s="32">
        <f>F639+F645+F660</f>
        <v>226123.6</v>
      </c>
      <c r="G638" s="32">
        <f>G639+G645+G660</f>
        <v>234395.40000000002</v>
      </c>
    </row>
    <row r="639" spans="1:7" outlineLevel="1" x14ac:dyDescent="0.25">
      <c r="A639" s="17" t="s">
        <v>188</v>
      </c>
      <c r="B639" s="18" t="s">
        <v>189</v>
      </c>
      <c r="C639" s="18"/>
      <c r="D639" s="9"/>
      <c r="E639" s="19">
        <f>E640</f>
        <v>47356.9</v>
      </c>
      <c r="F639" s="19">
        <f>F640</f>
        <v>48654.5</v>
      </c>
      <c r="G639" s="19">
        <f>G640</f>
        <v>50017.599999999999</v>
      </c>
    </row>
    <row r="640" spans="1:7" ht="47.25" outlineLevel="2" x14ac:dyDescent="0.25">
      <c r="A640" s="17" t="s">
        <v>190</v>
      </c>
      <c r="B640" s="18" t="s">
        <v>189</v>
      </c>
      <c r="C640" s="18" t="s">
        <v>191</v>
      </c>
      <c r="D640" s="9"/>
      <c r="E640" s="19">
        <f>+E641</f>
        <v>47356.9</v>
      </c>
      <c r="F640" s="19">
        <f t="shared" ref="F640:G640" si="269">+F641</f>
        <v>48654.5</v>
      </c>
      <c r="G640" s="19">
        <f t="shared" si="269"/>
        <v>50017.599999999999</v>
      </c>
    </row>
    <row r="641" spans="1:7" outlineLevel="2" x14ac:dyDescent="0.25">
      <c r="A641" s="17" t="s">
        <v>145</v>
      </c>
      <c r="B641" s="18" t="s">
        <v>189</v>
      </c>
      <c r="C641" s="18" t="s">
        <v>194</v>
      </c>
      <c r="D641" s="9"/>
      <c r="E641" s="19">
        <f t="shared" ref="E641:G643" si="270">E642</f>
        <v>47356.9</v>
      </c>
      <c r="F641" s="19">
        <f t="shared" si="270"/>
        <v>48654.5</v>
      </c>
      <c r="G641" s="19">
        <f t="shared" si="270"/>
        <v>50017.599999999999</v>
      </c>
    </row>
    <row r="642" spans="1:7" ht="94.5" outlineLevel="2" x14ac:dyDescent="0.25">
      <c r="A642" s="17" t="s">
        <v>195</v>
      </c>
      <c r="B642" s="18" t="s">
        <v>189</v>
      </c>
      <c r="C642" s="18" t="s">
        <v>196</v>
      </c>
      <c r="D642" s="9"/>
      <c r="E642" s="19">
        <f t="shared" si="270"/>
        <v>47356.9</v>
      </c>
      <c r="F642" s="19">
        <f t="shared" si="270"/>
        <v>48654.5</v>
      </c>
      <c r="G642" s="19">
        <f t="shared" si="270"/>
        <v>50017.599999999999</v>
      </c>
    </row>
    <row r="643" spans="1:7" ht="47.25" outlineLevel="2" x14ac:dyDescent="0.25">
      <c r="A643" s="17" t="s">
        <v>152</v>
      </c>
      <c r="B643" s="18" t="s">
        <v>189</v>
      </c>
      <c r="C643" s="18" t="s">
        <v>197</v>
      </c>
      <c r="D643" s="9"/>
      <c r="E643" s="19">
        <f t="shared" si="270"/>
        <v>47356.9</v>
      </c>
      <c r="F643" s="19">
        <f t="shared" si="270"/>
        <v>48654.5</v>
      </c>
      <c r="G643" s="19">
        <f t="shared" si="270"/>
        <v>50017.599999999999</v>
      </c>
    </row>
    <row r="644" spans="1:7" ht="47.25" outlineLevel="2" x14ac:dyDescent="0.25">
      <c r="A644" s="17" t="s">
        <v>94</v>
      </c>
      <c r="B644" s="18" t="s">
        <v>189</v>
      </c>
      <c r="C644" s="18" t="s">
        <v>197</v>
      </c>
      <c r="D644" s="9">
        <v>600</v>
      </c>
      <c r="E644" s="19">
        <v>47356.9</v>
      </c>
      <c r="F644" s="19">
        <v>48654.5</v>
      </c>
      <c r="G644" s="19">
        <v>50017.599999999999</v>
      </c>
    </row>
    <row r="645" spans="1:7" outlineLevel="1" x14ac:dyDescent="0.25">
      <c r="A645" s="17" t="s">
        <v>198</v>
      </c>
      <c r="B645" s="18" t="s">
        <v>199</v>
      </c>
      <c r="C645" s="18"/>
      <c r="D645" s="9"/>
      <c r="E645" s="19">
        <f>E646</f>
        <v>15097.199999999999</v>
      </c>
      <c r="F645" s="19">
        <f>F646</f>
        <v>10854.1</v>
      </c>
      <c r="G645" s="19">
        <f>G646</f>
        <v>10854.1</v>
      </c>
    </row>
    <row r="646" spans="1:7" ht="47.25" outlineLevel="2" x14ac:dyDescent="0.25">
      <c r="A646" s="17" t="s">
        <v>190</v>
      </c>
      <c r="B646" s="18" t="s">
        <v>199</v>
      </c>
      <c r="C646" s="18" t="s">
        <v>191</v>
      </c>
      <c r="D646" s="9"/>
      <c r="E646" s="19">
        <f>E647+E654</f>
        <v>15097.199999999999</v>
      </c>
      <c r="F646" s="19">
        <f>F647+F654</f>
        <v>10854.1</v>
      </c>
      <c r="G646" s="19">
        <f>G647+G654</f>
        <v>10854.1</v>
      </c>
    </row>
    <row r="647" spans="1:7" outlineLevel="2" x14ac:dyDescent="0.25">
      <c r="A647" s="17" t="s">
        <v>156</v>
      </c>
      <c r="B647" s="18" t="s">
        <v>199</v>
      </c>
      <c r="C647" s="18" t="s">
        <v>192</v>
      </c>
      <c r="D647" s="9"/>
      <c r="E647" s="19">
        <f>E651+E648</f>
        <v>1727.4</v>
      </c>
      <c r="F647" s="19">
        <f t="shared" ref="F647:G647" si="271">F651+F648</f>
        <v>1020</v>
      </c>
      <c r="G647" s="19">
        <f t="shared" si="271"/>
        <v>1020</v>
      </c>
    </row>
    <row r="648" spans="1:7" ht="63" outlineLevel="2" x14ac:dyDescent="0.25">
      <c r="A648" s="17" t="s">
        <v>506</v>
      </c>
      <c r="B648" s="18" t="s">
        <v>199</v>
      </c>
      <c r="C648" s="18" t="s">
        <v>193</v>
      </c>
      <c r="D648" s="18"/>
      <c r="E648" s="19">
        <f>E649</f>
        <v>471.4</v>
      </c>
      <c r="F648" s="19">
        <f t="shared" ref="F648:G649" si="272">F649</f>
        <v>0</v>
      </c>
      <c r="G648" s="19">
        <f t="shared" si="272"/>
        <v>0</v>
      </c>
    </row>
    <row r="649" spans="1:7" ht="31.5" outlineLevel="2" x14ac:dyDescent="0.25">
      <c r="A649" s="17" t="s">
        <v>488</v>
      </c>
      <c r="B649" s="18" t="s">
        <v>199</v>
      </c>
      <c r="C649" s="18" t="s">
        <v>489</v>
      </c>
      <c r="D649" s="18"/>
      <c r="E649" s="19">
        <f>E650</f>
        <v>471.4</v>
      </c>
      <c r="F649" s="19">
        <f t="shared" si="272"/>
        <v>0</v>
      </c>
      <c r="G649" s="19">
        <f t="shared" si="272"/>
        <v>0</v>
      </c>
    </row>
    <row r="650" spans="1:7" ht="47.25" outlineLevel="2" x14ac:dyDescent="0.25">
      <c r="A650" s="17" t="s">
        <v>94</v>
      </c>
      <c r="B650" s="18" t="s">
        <v>199</v>
      </c>
      <c r="C650" s="18" t="s">
        <v>489</v>
      </c>
      <c r="D650" s="18">
        <v>600</v>
      </c>
      <c r="E650" s="19">
        <v>471.4</v>
      </c>
      <c r="F650" s="19">
        <v>0</v>
      </c>
      <c r="G650" s="19">
        <v>0</v>
      </c>
    </row>
    <row r="651" spans="1:7" ht="47.25" outlineLevel="2" x14ac:dyDescent="0.25">
      <c r="A651" s="17" t="s">
        <v>201</v>
      </c>
      <c r="B651" s="18" t="s">
        <v>199</v>
      </c>
      <c r="C651" s="18" t="s">
        <v>202</v>
      </c>
      <c r="D651" s="9"/>
      <c r="E651" s="19">
        <f t="shared" ref="E651:G652" si="273">E652</f>
        <v>1256</v>
      </c>
      <c r="F651" s="19">
        <f t="shared" si="273"/>
        <v>1020</v>
      </c>
      <c r="G651" s="19">
        <f t="shared" si="273"/>
        <v>1020</v>
      </c>
    </row>
    <row r="652" spans="1:7" ht="63" outlineLevel="2" x14ac:dyDescent="0.25">
      <c r="A652" s="17" t="s">
        <v>176</v>
      </c>
      <c r="B652" s="18" t="s">
        <v>199</v>
      </c>
      <c r="C652" s="18" t="s">
        <v>491</v>
      </c>
      <c r="D652" s="9"/>
      <c r="E652" s="19">
        <f t="shared" si="273"/>
        <v>1256</v>
      </c>
      <c r="F652" s="19">
        <f t="shared" si="273"/>
        <v>1020</v>
      </c>
      <c r="G652" s="19">
        <f t="shared" si="273"/>
        <v>1020</v>
      </c>
    </row>
    <row r="653" spans="1:7" ht="47.25" outlineLevel="2" x14ac:dyDescent="0.25">
      <c r="A653" s="17" t="s">
        <v>94</v>
      </c>
      <c r="B653" s="18" t="s">
        <v>199</v>
      </c>
      <c r="C653" s="18" t="s">
        <v>491</v>
      </c>
      <c r="D653" s="9">
        <v>600</v>
      </c>
      <c r="E653" s="19">
        <f>836+420</f>
        <v>1256</v>
      </c>
      <c r="F653" s="19">
        <f>600+420</f>
        <v>1020</v>
      </c>
      <c r="G653" s="19">
        <f>600+420</f>
        <v>1020</v>
      </c>
    </row>
    <row r="654" spans="1:7" outlineLevel="2" x14ac:dyDescent="0.25">
      <c r="A654" s="17" t="s">
        <v>145</v>
      </c>
      <c r="B654" s="18" t="s">
        <v>199</v>
      </c>
      <c r="C654" s="18" t="s">
        <v>194</v>
      </c>
      <c r="D654" s="9"/>
      <c r="E654" s="19">
        <f>E655</f>
        <v>13369.8</v>
      </c>
      <c r="F654" s="19">
        <f>F655</f>
        <v>9834.1</v>
      </c>
      <c r="G654" s="19">
        <f>G655</f>
        <v>9834.1</v>
      </c>
    </row>
    <row r="655" spans="1:7" ht="94.5" outlineLevel="2" x14ac:dyDescent="0.25">
      <c r="A655" s="17" t="s">
        <v>195</v>
      </c>
      <c r="B655" s="18" t="s">
        <v>199</v>
      </c>
      <c r="C655" s="18" t="s">
        <v>196</v>
      </c>
      <c r="D655" s="9"/>
      <c r="E655" s="19">
        <f>E656+E658</f>
        <v>13369.8</v>
      </c>
      <c r="F655" s="19">
        <f>F656+F658</f>
        <v>9834.1</v>
      </c>
      <c r="G655" s="19">
        <f>G656+G658</f>
        <v>9834.1</v>
      </c>
    </row>
    <row r="656" spans="1:7" ht="31.5" outlineLevel="2" x14ac:dyDescent="0.25">
      <c r="A656" s="17" t="s">
        <v>203</v>
      </c>
      <c r="B656" s="18" t="s">
        <v>199</v>
      </c>
      <c r="C656" s="18" t="s">
        <v>204</v>
      </c>
      <c r="D656" s="9"/>
      <c r="E656" s="19">
        <f>E657</f>
        <v>10169</v>
      </c>
      <c r="F656" s="19">
        <f>F657</f>
        <v>7833.3</v>
      </c>
      <c r="G656" s="19">
        <f>G657</f>
        <v>7833.3</v>
      </c>
    </row>
    <row r="657" spans="1:7" ht="31.5" outlineLevel="2" x14ac:dyDescent="0.25">
      <c r="A657" s="17" t="s">
        <v>76</v>
      </c>
      <c r="B657" s="18" t="s">
        <v>199</v>
      </c>
      <c r="C657" s="18" t="s">
        <v>204</v>
      </c>
      <c r="D657" s="9">
        <v>200</v>
      </c>
      <c r="E657" s="19">
        <f>6800+1700+250+700+99.3+619.7</f>
        <v>10169</v>
      </c>
      <c r="F657" s="19">
        <f>5583.3+1500+250+500</f>
        <v>7833.3</v>
      </c>
      <c r="G657" s="19">
        <v>7833.3</v>
      </c>
    </row>
    <row r="658" spans="1:7" ht="47.25" outlineLevel="2" x14ac:dyDescent="0.25">
      <c r="A658" s="17" t="s">
        <v>205</v>
      </c>
      <c r="B658" s="18" t="s">
        <v>199</v>
      </c>
      <c r="C658" s="18" t="s">
        <v>206</v>
      </c>
      <c r="D658" s="9"/>
      <c r="E658" s="19">
        <f>E659</f>
        <v>3200.8</v>
      </c>
      <c r="F658" s="19">
        <f>F659</f>
        <v>2000.8</v>
      </c>
      <c r="G658" s="19">
        <f>G659</f>
        <v>2000.8</v>
      </c>
    </row>
    <row r="659" spans="1:7" ht="94.5" outlineLevel="2" x14ac:dyDescent="0.25">
      <c r="A659" s="17" t="s">
        <v>75</v>
      </c>
      <c r="B659" s="18" t="s">
        <v>199</v>
      </c>
      <c r="C659" s="18" t="s">
        <v>206</v>
      </c>
      <c r="D659" s="9">
        <v>100</v>
      </c>
      <c r="E659" s="19">
        <v>3200.8</v>
      </c>
      <c r="F659" s="19">
        <v>2000.8</v>
      </c>
      <c r="G659" s="19">
        <v>2000.8</v>
      </c>
    </row>
    <row r="660" spans="1:7" outlineLevel="1" x14ac:dyDescent="0.25">
      <c r="A660" s="17" t="s">
        <v>207</v>
      </c>
      <c r="B660" s="18" t="s">
        <v>200</v>
      </c>
      <c r="C660" s="18"/>
      <c r="D660" s="9"/>
      <c r="E660" s="19">
        <f>E669+E661</f>
        <v>178201.19999999998</v>
      </c>
      <c r="F660" s="19">
        <f t="shared" ref="F660:G660" si="274">F669+F661</f>
        <v>166615</v>
      </c>
      <c r="G660" s="19">
        <f t="shared" si="274"/>
        <v>173523.7</v>
      </c>
    </row>
    <row r="661" spans="1:7" ht="31.5" outlineLevel="2" x14ac:dyDescent="0.25">
      <c r="A661" s="20" t="s">
        <v>210</v>
      </c>
      <c r="B661" s="18" t="s">
        <v>200</v>
      </c>
      <c r="C661" s="18" t="s">
        <v>211</v>
      </c>
      <c r="D661" s="9"/>
      <c r="E661" s="42">
        <f>E662</f>
        <v>147817.29999999999</v>
      </c>
      <c r="F661" s="42">
        <f t="shared" ref="F661:G661" si="275">F662</f>
        <v>136447.20000000001</v>
      </c>
      <c r="G661" s="42">
        <f t="shared" si="275"/>
        <v>142469.30000000002</v>
      </c>
    </row>
    <row r="662" spans="1:7" outlineLevel="2" x14ac:dyDescent="0.25">
      <c r="A662" s="20" t="s">
        <v>145</v>
      </c>
      <c r="B662" s="18" t="s">
        <v>200</v>
      </c>
      <c r="C662" s="18" t="s">
        <v>217</v>
      </c>
      <c r="D662" s="9"/>
      <c r="E662" s="42">
        <f>E663+E666</f>
        <v>147817.29999999999</v>
      </c>
      <c r="F662" s="42">
        <f t="shared" ref="F662:G662" si="276">F663+F666</f>
        <v>136447.20000000001</v>
      </c>
      <c r="G662" s="42">
        <f t="shared" si="276"/>
        <v>142469.30000000002</v>
      </c>
    </row>
    <row r="663" spans="1:7" ht="63" outlineLevel="2" x14ac:dyDescent="0.25">
      <c r="A663" s="20" t="s">
        <v>490</v>
      </c>
      <c r="B663" s="18" t="s">
        <v>200</v>
      </c>
      <c r="C663" s="18" t="s">
        <v>218</v>
      </c>
      <c r="D663" s="9"/>
      <c r="E663" s="42">
        <f>E664</f>
        <v>147761.19999999998</v>
      </c>
      <c r="F663" s="42">
        <f t="shared" ref="F663:G664" si="277">F664</f>
        <v>136391.1</v>
      </c>
      <c r="G663" s="42">
        <f t="shared" si="277"/>
        <v>142413.20000000001</v>
      </c>
    </row>
    <row r="664" spans="1:7" ht="47.25" outlineLevel="2" x14ac:dyDescent="0.25">
      <c r="A664" s="8" t="s">
        <v>152</v>
      </c>
      <c r="B664" s="18" t="s">
        <v>200</v>
      </c>
      <c r="C664" s="18" t="s">
        <v>219</v>
      </c>
      <c r="D664" s="9"/>
      <c r="E664" s="42">
        <f>E665</f>
        <v>147761.19999999998</v>
      </c>
      <c r="F664" s="42">
        <f t="shared" si="277"/>
        <v>136391.1</v>
      </c>
      <c r="G664" s="42">
        <f t="shared" si="277"/>
        <v>142413.20000000001</v>
      </c>
    </row>
    <row r="665" spans="1:7" ht="47.25" outlineLevel="2" x14ac:dyDescent="0.25">
      <c r="A665" s="17" t="s">
        <v>94</v>
      </c>
      <c r="B665" s="18" t="s">
        <v>200</v>
      </c>
      <c r="C665" s="18" t="s">
        <v>219</v>
      </c>
      <c r="D665" s="9">
        <v>600</v>
      </c>
      <c r="E665" s="42">
        <f>130715.5+1298.4+15747.3</f>
        <v>147761.19999999998</v>
      </c>
      <c r="F665" s="1">
        <v>136391.1</v>
      </c>
      <c r="G665" s="1">
        <v>142413.20000000001</v>
      </c>
    </row>
    <row r="666" spans="1:7" ht="63" outlineLevel="2" x14ac:dyDescent="0.25">
      <c r="A666" s="33" t="s">
        <v>494</v>
      </c>
      <c r="B666" s="18" t="s">
        <v>200</v>
      </c>
      <c r="C666" s="18" t="s">
        <v>224</v>
      </c>
      <c r="D666" s="57"/>
      <c r="E666" s="42">
        <f>E667</f>
        <v>56.1</v>
      </c>
      <c r="F666" s="42">
        <f t="shared" ref="F666:G667" si="278">F667</f>
        <v>56.1</v>
      </c>
      <c r="G666" s="42">
        <f t="shared" si="278"/>
        <v>56.1</v>
      </c>
    </row>
    <row r="667" spans="1:7" ht="47.25" outlineLevel="2" x14ac:dyDescent="0.25">
      <c r="A667" s="56" t="s">
        <v>255</v>
      </c>
      <c r="B667" s="18" t="s">
        <v>200</v>
      </c>
      <c r="C667" s="58" t="s">
        <v>226</v>
      </c>
      <c r="D667" s="57"/>
      <c r="E667" s="42">
        <f>E668</f>
        <v>56.1</v>
      </c>
      <c r="F667" s="42">
        <f t="shared" si="278"/>
        <v>56.1</v>
      </c>
      <c r="G667" s="42">
        <f t="shared" si="278"/>
        <v>56.1</v>
      </c>
    </row>
    <row r="668" spans="1:7" ht="47.25" outlineLevel="2" x14ac:dyDescent="0.25">
      <c r="A668" s="20" t="s">
        <v>94</v>
      </c>
      <c r="B668" s="18" t="s">
        <v>200</v>
      </c>
      <c r="C668" s="58" t="s">
        <v>226</v>
      </c>
      <c r="D668" s="57">
        <v>600</v>
      </c>
      <c r="E668" s="42">
        <v>56.1</v>
      </c>
      <c r="F668" s="1">
        <v>56.1</v>
      </c>
      <c r="G668" s="1">
        <v>56.1</v>
      </c>
    </row>
    <row r="669" spans="1:7" ht="47.25" outlineLevel="2" x14ac:dyDescent="0.25">
      <c r="A669" s="17" t="s">
        <v>190</v>
      </c>
      <c r="B669" s="18" t="s">
        <v>200</v>
      </c>
      <c r="C669" s="18" t="s">
        <v>191</v>
      </c>
      <c r="D669" s="9"/>
      <c r="E669" s="19">
        <f>E674+E670</f>
        <v>30383.899999999998</v>
      </c>
      <c r="F669" s="19">
        <f>F674</f>
        <v>30167.8</v>
      </c>
      <c r="G669" s="19">
        <f>G674</f>
        <v>31054.400000000001</v>
      </c>
    </row>
    <row r="670" spans="1:7" outlineLevel="2" x14ac:dyDescent="0.25">
      <c r="A670" s="17" t="s">
        <v>156</v>
      </c>
      <c r="B670" s="18" t="s">
        <v>200</v>
      </c>
      <c r="C670" s="18" t="s">
        <v>192</v>
      </c>
      <c r="D670" s="18"/>
      <c r="E670" s="19">
        <f>E671</f>
        <v>1015.1</v>
      </c>
      <c r="F670" s="19">
        <f t="shared" ref="F670:G672" si="279">F671</f>
        <v>0</v>
      </c>
      <c r="G670" s="19">
        <f t="shared" si="279"/>
        <v>0</v>
      </c>
    </row>
    <row r="671" spans="1:7" ht="47.25" outlineLevel="2" x14ac:dyDescent="0.25">
      <c r="A671" s="17" t="s">
        <v>548</v>
      </c>
      <c r="B671" s="18" t="s">
        <v>200</v>
      </c>
      <c r="C671" s="18" t="s">
        <v>549</v>
      </c>
      <c r="D671" s="18"/>
      <c r="E671" s="19">
        <f t="shared" ref="E671:E672" si="280">E672</f>
        <v>1015.1</v>
      </c>
      <c r="F671" s="19">
        <f t="shared" si="279"/>
        <v>0</v>
      </c>
      <c r="G671" s="19">
        <f t="shared" si="279"/>
        <v>0</v>
      </c>
    </row>
    <row r="672" spans="1:7" ht="63" outlineLevel="2" x14ac:dyDescent="0.25">
      <c r="A672" s="17" t="s">
        <v>176</v>
      </c>
      <c r="B672" s="18" t="s">
        <v>200</v>
      </c>
      <c r="C672" s="77" t="s">
        <v>550</v>
      </c>
      <c r="D672" s="18"/>
      <c r="E672" s="19">
        <f t="shared" si="280"/>
        <v>1015.1</v>
      </c>
      <c r="F672" s="19">
        <f t="shared" si="279"/>
        <v>0</v>
      </c>
      <c r="G672" s="19">
        <f t="shared" si="279"/>
        <v>0</v>
      </c>
    </row>
    <row r="673" spans="1:7" ht="47.25" outlineLevel="2" x14ac:dyDescent="0.25">
      <c r="A673" s="17" t="s">
        <v>94</v>
      </c>
      <c r="B673" s="18" t="s">
        <v>200</v>
      </c>
      <c r="C673" s="77" t="s">
        <v>550</v>
      </c>
      <c r="D673" s="18" t="s">
        <v>95</v>
      </c>
      <c r="E673" s="19">
        <f>55.2+5.7+89.5+864.7</f>
        <v>1015.1</v>
      </c>
      <c r="F673" s="19">
        <v>0</v>
      </c>
      <c r="G673" s="19">
        <v>0</v>
      </c>
    </row>
    <row r="674" spans="1:7" outlineLevel="2" x14ac:dyDescent="0.25">
      <c r="A674" s="17" t="s">
        <v>145</v>
      </c>
      <c r="B674" s="18" t="s">
        <v>200</v>
      </c>
      <c r="C674" s="18" t="s">
        <v>194</v>
      </c>
      <c r="D674" s="9"/>
      <c r="E674" s="19">
        <f>E675</f>
        <v>29368.799999999999</v>
      </c>
      <c r="F674" s="19">
        <f t="shared" ref="F674:G674" si="281">F675</f>
        <v>30167.8</v>
      </c>
      <c r="G674" s="19">
        <f t="shared" si="281"/>
        <v>31054.400000000001</v>
      </c>
    </row>
    <row r="675" spans="1:7" ht="94.5" outlineLevel="2" x14ac:dyDescent="0.25">
      <c r="A675" s="17" t="s">
        <v>195</v>
      </c>
      <c r="B675" s="18" t="s">
        <v>200</v>
      </c>
      <c r="C675" s="18" t="s">
        <v>196</v>
      </c>
      <c r="D675" s="9"/>
      <c r="E675" s="19">
        <f>E676+E678</f>
        <v>29368.799999999999</v>
      </c>
      <c r="F675" s="19">
        <f t="shared" ref="F675:G675" si="282">F676+F678</f>
        <v>30167.8</v>
      </c>
      <c r="G675" s="19">
        <f t="shared" si="282"/>
        <v>31054.400000000001</v>
      </c>
    </row>
    <row r="676" spans="1:7" ht="63" outlineLevel="2" x14ac:dyDescent="0.25">
      <c r="A676" s="17" t="s">
        <v>208</v>
      </c>
      <c r="B676" s="18" t="s">
        <v>200</v>
      </c>
      <c r="C676" s="18" t="s">
        <v>209</v>
      </c>
      <c r="D676" s="9"/>
      <c r="E676" s="19">
        <f>E677</f>
        <v>950</v>
      </c>
      <c r="F676" s="19">
        <f>F677</f>
        <v>950</v>
      </c>
      <c r="G676" s="19">
        <f>G677</f>
        <v>950</v>
      </c>
    </row>
    <row r="677" spans="1:7" ht="31.5" outlineLevel="2" x14ac:dyDescent="0.25">
      <c r="A677" s="17" t="s">
        <v>20</v>
      </c>
      <c r="B677" s="18" t="s">
        <v>200</v>
      </c>
      <c r="C677" s="18" t="s">
        <v>209</v>
      </c>
      <c r="D677" s="9">
        <v>300</v>
      </c>
      <c r="E677" s="19">
        <v>950</v>
      </c>
      <c r="F677" s="19">
        <v>950</v>
      </c>
      <c r="G677" s="19">
        <v>950</v>
      </c>
    </row>
    <row r="678" spans="1:7" ht="47.25" outlineLevel="2" x14ac:dyDescent="0.25">
      <c r="A678" s="17" t="s">
        <v>152</v>
      </c>
      <c r="B678" s="18" t="s">
        <v>200</v>
      </c>
      <c r="C678" s="18" t="s">
        <v>197</v>
      </c>
      <c r="D678" s="9"/>
      <c r="E678" s="19">
        <f>E679</f>
        <v>28418.799999999999</v>
      </c>
      <c r="F678" s="19">
        <f>F679</f>
        <v>29217.8</v>
      </c>
      <c r="G678" s="19">
        <f>G679</f>
        <v>30104.400000000001</v>
      </c>
    </row>
    <row r="679" spans="1:7" ht="47.25" outlineLevel="2" x14ac:dyDescent="0.25">
      <c r="A679" s="17" t="s">
        <v>94</v>
      </c>
      <c r="B679" s="18" t="s">
        <v>200</v>
      </c>
      <c r="C679" s="18" t="s">
        <v>197</v>
      </c>
      <c r="D679" s="9">
        <v>600</v>
      </c>
      <c r="E679" s="19">
        <f>28376.3+42.5</f>
        <v>28418.799999999999</v>
      </c>
      <c r="F679" s="19">
        <v>29217.8</v>
      </c>
      <c r="G679" s="19">
        <v>30104.400000000001</v>
      </c>
    </row>
    <row r="680" spans="1:7" x14ac:dyDescent="0.25">
      <c r="A680" s="78" t="s">
        <v>472</v>
      </c>
      <c r="B680" s="37" t="s">
        <v>473</v>
      </c>
      <c r="C680" s="37"/>
      <c r="D680" s="49"/>
      <c r="E680" s="16">
        <f>E681</f>
        <v>33638.300000000003</v>
      </c>
      <c r="F680" s="16">
        <f t="shared" ref="F680:G683" si="283">F681</f>
        <v>34815.9</v>
      </c>
      <c r="G680" s="16">
        <f t="shared" si="283"/>
        <v>36037.4</v>
      </c>
    </row>
    <row r="681" spans="1:7" outlineLevel="1" x14ac:dyDescent="0.25">
      <c r="A681" s="40" t="s">
        <v>474</v>
      </c>
      <c r="B681" s="23" t="s">
        <v>475</v>
      </c>
      <c r="C681" s="23"/>
      <c r="D681" s="24"/>
      <c r="E681" s="1">
        <f>E682</f>
        <v>33638.300000000003</v>
      </c>
      <c r="F681" s="1">
        <f t="shared" si="283"/>
        <v>34815.9</v>
      </c>
      <c r="G681" s="1">
        <f t="shared" si="283"/>
        <v>36037.4</v>
      </c>
    </row>
    <row r="682" spans="1:7" outlineLevel="2" x14ac:dyDescent="0.25">
      <c r="A682" s="51" t="s">
        <v>9</v>
      </c>
      <c r="B682" s="23" t="s">
        <v>475</v>
      </c>
      <c r="C682" s="23" t="s">
        <v>10</v>
      </c>
      <c r="D682" s="24"/>
      <c r="E682" s="1">
        <f>E683</f>
        <v>33638.300000000003</v>
      </c>
      <c r="F682" s="1">
        <f t="shared" si="283"/>
        <v>34815.9</v>
      </c>
      <c r="G682" s="1">
        <f t="shared" si="283"/>
        <v>36037.4</v>
      </c>
    </row>
    <row r="683" spans="1:7" ht="47.25" outlineLevel="2" x14ac:dyDescent="0.25">
      <c r="A683" s="51" t="s">
        <v>152</v>
      </c>
      <c r="B683" s="23" t="s">
        <v>475</v>
      </c>
      <c r="C683" s="23" t="s">
        <v>45</v>
      </c>
      <c r="D683" s="24"/>
      <c r="E683" s="1">
        <f>E684</f>
        <v>33638.300000000003</v>
      </c>
      <c r="F683" s="1">
        <f t="shared" si="283"/>
        <v>34815.9</v>
      </c>
      <c r="G683" s="1">
        <f t="shared" si="283"/>
        <v>36037.4</v>
      </c>
    </row>
    <row r="684" spans="1:7" ht="47.25" outlineLevel="2" x14ac:dyDescent="0.25">
      <c r="A684" s="51" t="s">
        <v>94</v>
      </c>
      <c r="B684" s="23" t="s">
        <v>475</v>
      </c>
      <c r="C684" s="23" t="s">
        <v>45</v>
      </c>
      <c r="D684" s="24">
        <v>600</v>
      </c>
      <c r="E684" s="1">
        <v>33638.300000000003</v>
      </c>
      <c r="F684" s="1">
        <v>34815.9</v>
      </c>
      <c r="G684" s="1">
        <v>36037.4</v>
      </c>
    </row>
    <row r="685" spans="1:7" ht="31.5" x14ac:dyDescent="0.25">
      <c r="A685" s="74" t="s">
        <v>112</v>
      </c>
      <c r="B685" s="14" t="s">
        <v>113</v>
      </c>
      <c r="C685" s="14"/>
      <c r="D685" s="15"/>
      <c r="E685" s="32">
        <f>E686</f>
        <v>143371.5</v>
      </c>
      <c r="F685" s="32">
        <f t="shared" ref="F685:G688" si="284">F686</f>
        <v>183171</v>
      </c>
      <c r="G685" s="32">
        <f t="shared" si="284"/>
        <v>236273.4</v>
      </c>
    </row>
    <row r="686" spans="1:7" ht="31.5" outlineLevel="1" x14ac:dyDescent="0.25">
      <c r="A686" s="17" t="s">
        <v>114</v>
      </c>
      <c r="B686" s="18" t="s">
        <v>115</v>
      </c>
      <c r="C686" s="18"/>
      <c r="D686" s="9"/>
      <c r="E686" s="19">
        <f>E687</f>
        <v>143371.5</v>
      </c>
      <c r="F686" s="19">
        <f t="shared" si="284"/>
        <v>183171</v>
      </c>
      <c r="G686" s="19">
        <f t="shared" si="284"/>
        <v>236273.4</v>
      </c>
    </row>
    <row r="687" spans="1:7" outlineLevel="2" x14ac:dyDescent="0.25">
      <c r="A687" s="17" t="s">
        <v>9</v>
      </c>
      <c r="B687" s="18" t="s">
        <v>115</v>
      </c>
      <c r="C687" s="18" t="s">
        <v>10</v>
      </c>
      <c r="D687" s="9"/>
      <c r="E687" s="19">
        <f>E688</f>
        <v>143371.5</v>
      </c>
      <c r="F687" s="19">
        <f t="shared" si="284"/>
        <v>183171</v>
      </c>
      <c r="G687" s="19">
        <f t="shared" si="284"/>
        <v>236273.4</v>
      </c>
    </row>
    <row r="688" spans="1:7" ht="31.5" outlineLevel="2" x14ac:dyDescent="0.25">
      <c r="A688" s="17" t="s">
        <v>116</v>
      </c>
      <c r="B688" s="18" t="s">
        <v>115</v>
      </c>
      <c r="C688" s="18" t="s">
        <v>117</v>
      </c>
      <c r="D688" s="9"/>
      <c r="E688" s="19">
        <f>E689</f>
        <v>143371.5</v>
      </c>
      <c r="F688" s="19">
        <f t="shared" si="284"/>
        <v>183171</v>
      </c>
      <c r="G688" s="19">
        <f t="shared" si="284"/>
        <v>236273.4</v>
      </c>
    </row>
    <row r="689" spans="1:8" ht="31.5" outlineLevel="2" x14ac:dyDescent="0.25">
      <c r="A689" s="17" t="s">
        <v>118</v>
      </c>
      <c r="B689" s="18" t="s">
        <v>115</v>
      </c>
      <c r="C689" s="18" t="s">
        <v>117</v>
      </c>
      <c r="D689" s="9">
        <v>700</v>
      </c>
      <c r="E689" s="19">
        <v>143371.5</v>
      </c>
      <c r="F689" s="19">
        <v>183171</v>
      </c>
      <c r="G689" s="19">
        <v>236273.4</v>
      </c>
    </row>
    <row r="691" spans="1:8" x14ac:dyDescent="0.25">
      <c r="A691" s="79" t="s">
        <v>476</v>
      </c>
      <c r="E691" s="16">
        <f>E10+E103+E120+E200+E371+E378+E540+E581+E638+E680+E685</f>
        <v>13048597.839999998</v>
      </c>
      <c r="F691" s="16">
        <f>F10+F103+F120+F200+F371+F378+F540+F581+F638+F680+F685</f>
        <v>13623666.299999997</v>
      </c>
      <c r="G691" s="16">
        <f>G10+G103+G120+G200+G371+G378+G540+G581+G638+G680+G685</f>
        <v>12736436.499999998</v>
      </c>
    </row>
    <row r="692" spans="1:8" x14ac:dyDescent="0.25">
      <c r="G692" s="80" t="s">
        <v>520</v>
      </c>
    </row>
    <row r="694" spans="1:8" x14ac:dyDescent="0.25">
      <c r="G694" s="1"/>
    </row>
    <row r="695" spans="1:8" x14ac:dyDescent="0.25">
      <c r="G695" s="1"/>
      <c r="H695" s="81"/>
    </row>
    <row r="696" spans="1:8" x14ac:dyDescent="0.25">
      <c r="G696" s="1"/>
    </row>
    <row r="698" spans="1:8" x14ac:dyDescent="0.25">
      <c r="G698" s="1"/>
    </row>
  </sheetData>
  <customSheetViews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A135292-D5EB-4A8D-A93E-D0B24F2543E0}" scale="80" showPageBreaks="1" topLeftCell="A184">
      <selection activeCell="O14" sqref="O14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 showAutoFilter="1" topLeftCell="A354">
      <selection activeCell="I385" sqref="I385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  <headerFooter>
        <oddFooter>&amp;R&amp;P</oddFooter>
      </headerFooter>
      <autoFilter ref="A7:G689" xr:uid="{F1F644F4-4C92-45DA-B379-53D289017B83}"/>
    </customSheetView>
  </customSheetViews>
  <mergeCells count="8">
    <mergeCell ref="F1:G1"/>
    <mergeCell ref="A8:A9"/>
    <mergeCell ref="B8:B9"/>
    <mergeCell ref="F8:G8"/>
    <mergeCell ref="F3:G3"/>
    <mergeCell ref="C8:C9"/>
    <mergeCell ref="D8:D9"/>
    <mergeCell ref="A5:G5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Хода Светлана Ивановна</cp:lastModifiedBy>
  <cp:lastPrinted>2025-03-10T00:33:30Z</cp:lastPrinted>
  <dcterms:created xsi:type="dcterms:W3CDTF">2021-10-13T06:13:14Z</dcterms:created>
  <dcterms:modified xsi:type="dcterms:W3CDTF">2025-03-13T07:21:15Z</dcterms:modified>
</cp:coreProperties>
</file>